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Structure="1"/>
  <bookViews>
    <workbookView xWindow="480" yWindow="120" windowWidth="18315" windowHeight="8490" activeTab="2"/>
  </bookViews>
  <sheets>
    <sheet name="説明" sheetId="14" r:id="rId1"/>
    <sheet name="ステ入力型" sheetId="7" r:id="rId2"/>
    <sheet name="ステ計算型" sheetId="11" r:id="rId3"/>
    <sheet name="ポイント" sheetId="4" r:id="rId4"/>
    <sheet name="武器" sheetId="5" r:id="rId5"/>
    <sheet name="防具" sheetId="8" r:id="rId6"/>
    <sheet name="テクニック" sheetId="9" r:id="rId7"/>
    <sheet name="技術計算" sheetId="12" r:id="rId8"/>
  </sheets>
  <calcPr calcId="125725" iterate="1"/>
</workbook>
</file>

<file path=xl/calcChain.xml><?xml version="1.0" encoding="utf-8"?>
<calcChain xmlns="http://schemas.openxmlformats.org/spreadsheetml/2006/main">
  <c r="F34" i="11"/>
  <c r="F45"/>
  <c r="A14"/>
  <c r="B39"/>
  <c r="A37"/>
  <c r="W19"/>
  <c r="W20"/>
  <c r="W21"/>
  <c r="W22"/>
  <c r="W10"/>
  <c r="W11"/>
  <c r="W12"/>
  <c r="W13"/>
  <c r="W14"/>
  <c r="W15"/>
  <c r="W16"/>
  <c r="W18"/>
  <c r="W9"/>
  <c r="Q7"/>
  <c r="B3"/>
  <c r="L26"/>
  <c r="L25"/>
  <c r="L26" i="7"/>
  <c r="L25"/>
  <c r="F37"/>
  <c r="F34"/>
  <c r="G34" s="1"/>
  <c r="H33"/>
  <c r="D21" s="1"/>
  <c r="F31"/>
  <c r="G29"/>
  <c r="F29"/>
  <c r="C29"/>
  <c r="K28"/>
  <c r="J28"/>
  <c r="I28"/>
  <c r="G28"/>
  <c r="L36" s="1"/>
  <c r="C28"/>
  <c r="I27"/>
  <c r="C27"/>
  <c r="W26"/>
  <c r="K26"/>
  <c r="J26"/>
  <c r="I26"/>
  <c r="H26"/>
  <c r="G26"/>
  <c r="F26"/>
  <c r="W25"/>
  <c r="K25"/>
  <c r="J25"/>
  <c r="N10" s="1"/>
  <c r="I25"/>
  <c r="H25"/>
  <c r="G25"/>
  <c r="F25"/>
  <c r="W24"/>
  <c r="G22"/>
  <c r="F22"/>
  <c r="E22"/>
  <c r="W22"/>
  <c r="W21"/>
  <c r="W20"/>
  <c r="W12"/>
  <c r="E12"/>
  <c r="W11"/>
  <c r="F11"/>
  <c r="W10"/>
  <c r="W9"/>
  <c r="M8"/>
  <c r="W7"/>
  <c r="Q7"/>
  <c r="U29" s="1"/>
  <c r="E5"/>
  <c r="F30" s="1"/>
  <c r="D5"/>
  <c r="S3"/>
  <c r="P3"/>
  <c r="Q3" s="1"/>
  <c r="M3"/>
  <c r="N3" s="1"/>
  <c r="O4" s="1"/>
  <c r="O3" s="1"/>
  <c r="L30" s="1"/>
  <c r="J3"/>
  <c r="K3" s="1"/>
  <c r="F3"/>
  <c r="E3"/>
  <c r="B3"/>
  <c r="B10" s="1"/>
  <c r="D1"/>
  <c r="N38" i="8" s="1"/>
  <c r="E12" i="11"/>
  <c r="F11" s="1"/>
  <c r="R19"/>
  <c r="R25" s="1"/>
  <c r="R399" i="12"/>
  <c r="B399"/>
  <c r="Y399" s="1"/>
  <c r="R398"/>
  <c r="B398"/>
  <c r="Y398" s="1"/>
  <c r="R397"/>
  <c r="B397"/>
  <c r="Y397" s="1"/>
  <c r="R396"/>
  <c r="B396"/>
  <c r="Y396" s="1"/>
  <c r="R395"/>
  <c r="B395"/>
  <c r="Y395" s="1"/>
  <c r="R394"/>
  <c r="B394"/>
  <c r="Y394" s="1"/>
  <c r="R393"/>
  <c r="B393"/>
  <c r="Y393" s="1"/>
  <c r="R392"/>
  <c r="B392"/>
  <c r="Y392" s="1"/>
  <c r="R391"/>
  <c r="B391"/>
  <c r="Y391" s="1"/>
  <c r="R390"/>
  <c r="B390"/>
  <c r="Y390" s="1"/>
  <c r="R389"/>
  <c r="B389"/>
  <c r="Y389" s="1"/>
  <c r="R388"/>
  <c r="B388"/>
  <c r="Y388" s="1"/>
  <c r="R387"/>
  <c r="B387"/>
  <c r="Y387" s="1"/>
  <c r="R386"/>
  <c r="B386"/>
  <c r="Y386" s="1"/>
  <c r="R385"/>
  <c r="B385"/>
  <c r="Y385" s="1"/>
  <c r="R384"/>
  <c r="B384"/>
  <c r="C384" s="1"/>
  <c r="R383"/>
  <c r="B383"/>
  <c r="Y383" s="1"/>
  <c r="R382"/>
  <c r="B382"/>
  <c r="Y382" s="1"/>
  <c r="R381"/>
  <c r="B381"/>
  <c r="Y381" s="1"/>
  <c r="R380"/>
  <c r="B380"/>
  <c r="Y380" s="1"/>
  <c r="R379"/>
  <c r="B379"/>
  <c r="Y379" s="1"/>
  <c r="R378"/>
  <c r="B378"/>
  <c r="Y378" s="1"/>
  <c r="R377"/>
  <c r="B377"/>
  <c r="Y377" s="1"/>
  <c r="R376"/>
  <c r="B376"/>
  <c r="Y376" s="1"/>
  <c r="R375"/>
  <c r="B375"/>
  <c r="Y375" s="1"/>
  <c r="R374"/>
  <c r="B374"/>
  <c r="Y374" s="1"/>
  <c r="R373"/>
  <c r="B373"/>
  <c r="Y373" s="1"/>
  <c r="R372"/>
  <c r="B372"/>
  <c r="Y372" s="1"/>
  <c r="R371"/>
  <c r="B371"/>
  <c r="Y371" s="1"/>
  <c r="R370"/>
  <c r="B370"/>
  <c r="Y370" s="1"/>
  <c r="R369"/>
  <c r="B369"/>
  <c r="Y369" s="1"/>
  <c r="R368"/>
  <c r="B368"/>
  <c r="Y368" s="1"/>
  <c r="R367"/>
  <c r="B367"/>
  <c r="Y367" s="1"/>
  <c r="R366"/>
  <c r="B366"/>
  <c r="Y366" s="1"/>
  <c r="R365"/>
  <c r="B365"/>
  <c r="Y365" s="1"/>
  <c r="R364"/>
  <c r="B364"/>
  <c r="Y364" s="1"/>
  <c r="R363"/>
  <c r="B363"/>
  <c r="Y363" s="1"/>
  <c r="R362"/>
  <c r="B362"/>
  <c r="Y362" s="1"/>
  <c r="R361"/>
  <c r="B361"/>
  <c r="Y361" s="1"/>
  <c r="R360"/>
  <c r="B360"/>
  <c r="Y360" s="1"/>
  <c r="R359"/>
  <c r="B359"/>
  <c r="Y359" s="1"/>
  <c r="R358"/>
  <c r="B358"/>
  <c r="Y358" s="1"/>
  <c r="R357"/>
  <c r="B357"/>
  <c r="Y357" s="1"/>
  <c r="R356"/>
  <c r="B356"/>
  <c r="Y356" s="1"/>
  <c r="R355"/>
  <c r="B355"/>
  <c r="Y355" s="1"/>
  <c r="R354"/>
  <c r="B354"/>
  <c r="Y354" s="1"/>
  <c r="R353"/>
  <c r="B353"/>
  <c r="Y353" s="1"/>
  <c r="R352"/>
  <c r="B352"/>
  <c r="C352" s="1"/>
  <c r="R351"/>
  <c r="B351"/>
  <c r="Y351" s="1"/>
  <c r="R350"/>
  <c r="B350"/>
  <c r="Y350" s="1"/>
  <c r="R349"/>
  <c r="B349"/>
  <c r="Y349" s="1"/>
  <c r="R348"/>
  <c r="B348"/>
  <c r="Y348" s="1"/>
  <c r="R347"/>
  <c r="B347"/>
  <c r="Y347" s="1"/>
  <c r="R346"/>
  <c r="B346"/>
  <c r="Y346" s="1"/>
  <c r="R345"/>
  <c r="B345"/>
  <c r="Y345" s="1"/>
  <c r="R344"/>
  <c r="B344"/>
  <c r="Y344" s="1"/>
  <c r="R343"/>
  <c r="B343"/>
  <c r="Y343" s="1"/>
  <c r="R342"/>
  <c r="B342"/>
  <c r="Y342" s="1"/>
  <c r="R341"/>
  <c r="B341"/>
  <c r="Y341" s="1"/>
  <c r="R340"/>
  <c r="B340"/>
  <c r="Y340" s="1"/>
  <c r="R339"/>
  <c r="B339"/>
  <c r="Y339" s="1"/>
  <c r="R338"/>
  <c r="B338"/>
  <c r="Y338" s="1"/>
  <c r="R337"/>
  <c r="B337"/>
  <c r="Y337" s="1"/>
  <c r="R336"/>
  <c r="B336"/>
  <c r="C336" s="1"/>
  <c r="R335"/>
  <c r="B335"/>
  <c r="Y335" s="1"/>
  <c r="R334"/>
  <c r="B334"/>
  <c r="Y334" s="1"/>
  <c r="R333"/>
  <c r="B333"/>
  <c r="Y333" s="1"/>
  <c r="R332"/>
  <c r="B332"/>
  <c r="Y332" s="1"/>
  <c r="R331"/>
  <c r="B331"/>
  <c r="Y331" s="1"/>
  <c r="R330"/>
  <c r="B330"/>
  <c r="Y330" s="1"/>
  <c r="R329"/>
  <c r="B329"/>
  <c r="Y329" s="1"/>
  <c r="R328"/>
  <c r="B328"/>
  <c r="Y328" s="1"/>
  <c r="R327"/>
  <c r="B327"/>
  <c r="Y327" s="1"/>
  <c r="R326"/>
  <c r="B326"/>
  <c r="Y326" s="1"/>
  <c r="R325"/>
  <c r="B325"/>
  <c r="Y325" s="1"/>
  <c r="R324"/>
  <c r="B324"/>
  <c r="Y324" s="1"/>
  <c r="R323"/>
  <c r="B323"/>
  <c r="Y323" s="1"/>
  <c r="R322"/>
  <c r="B322"/>
  <c r="Y322" s="1"/>
  <c r="R321"/>
  <c r="B321"/>
  <c r="Y321" s="1"/>
  <c r="R320"/>
  <c r="B320"/>
  <c r="C320" s="1"/>
  <c r="R319"/>
  <c r="B319"/>
  <c r="Y319" s="1"/>
  <c r="R318"/>
  <c r="B318"/>
  <c r="Y318" s="1"/>
  <c r="R317"/>
  <c r="B317"/>
  <c r="Y317" s="1"/>
  <c r="R316"/>
  <c r="B316"/>
  <c r="Y316" s="1"/>
  <c r="R315"/>
  <c r="B315"/>
  <c r="Y315" s="1"/>
  <c r="R314"/>
  <c r="B314"/>
  <c r="Y314" s="1"/>
  <c r="R313"/>
  <c r="B313"/>
  <c r="Y313" s="1"/>
  <c r="R312"/>
  <c r="B312"/>
  <c r="Y312" s="1"/>
  <c r="R311"/>
  <c r="B311"/>
  <c r="Y311" s="1"/>
  <c r="R310"/>
  <c r="B310"/>
  <c r="Y310" s="1"/>
  <c r="R309"/>
  <c r="B309"/>
  <c r="Y309" s="1"/>
  <c r="R308"/>
  <c r="B308"/>
  <c r="Y308" s="1"/>
  <c r="R307"/>
  <c r="B307"/>
  <c r="Y307" s="1"/>
  <c r="R306"/>
  <c r="B306"/>
  <c r="Y306" s="1"/>
  <c r="R305"/>
  <c r="B305"/>
  <c r="Y305" s="1"/>
  <c r="R304"/>
  <c r="B304"/>
  <c r="C304" s="1"/>
  <c r="R303"/>
  <c r="B303"/>
  <c r="Y303" s="1"/>
  <c r="R302"/>
  <c r="B302"/>
  <c r="Y302" s="1"/>
  <c r="R301"/>
  <c r="B301"/>
  <c r="Y301" s="1"/>
  <c r="R300"/>
  <c r="B300"/>
  <c r="Y300" s="1"/>
  <c r="R299"/>
  <c r="B299"/>
  <c r="Y299" s="1"/>
  <c r="R298"/>
  <c r="B298"/>
  <c r="Y298" s="1"/>
  <c r="R297"/>
  <c r="B297"/>
  <c r="Y297" s="1"/>
  <c r="R296"/>
  <c r="B296"/>
  <c r="Y296" s="1"/>
  <c r="R295"/>
  <c r="B295"/>
  <c r="Y295" s="1"/>
  <c r="R294"/>
  <c r="B294"/>
  <c r="Y294" s="1"/>
  <c r="R293"/>
  <c r="B293"/>
  <c r="Y293" s="1"/>
  <c r="R292"/>
  <c r="B292"/>
  <c r="Y292" s="1"/>
  <c r="R291"/>
  <c r="B291"/>
  <c r="Y291" s="1"/>
  <c r="R290"/>
  <c r="B290"/>
  <c r="Y290" s="1"/>
  <c r="R289"/>
  <c r="B289"/>
  <c r="Y289" s="1"/>
  <c r="R288"/>
  <c r="B288"/>
  <c r="C288" s="1"/>
  <c r="R287"/>
  <c r="B287"/>
  <c r="Y287" s="1"/>
  <c r="R286"/>
  <c r="B286"/>
  <c r="Y286" s="1"/>
  <c r="R285"/>
  <c r="B285"/>
  <c r="Y285" s="1"/>
  <c r="R284"/>
  <c r="B284"/>
  <c r="Y284" s="1"/>
  <c r="R283"/>
  <c r="B283"/>
  <c r="Y283" s="1"/>
  <c r="R282"/>
  <c r="B282"/>
  <c r="Y282" s="1"/>
  <c r="R281"/>
  <c r="B281"/>
  <c r="Y281" s="1"/>
  <c r="R280"/>
  <c r="B280"/>
  <c r="Y280" s="1"/>
  <c r="R279"/>
  <c r="B279"/>
  <c r="Y279" s="1"/>
  <c r="R278"/>
  <c r="B278"/>
  <c r="Y278" s="1"/>
  <c r="R277"/>
  <c r="B277"/>
  <c r="Y277" s="1"/>
  <c r="R276"/>
  <c r="B276"/>
  <c r="Y276" s="1"/>
  <c r="R275"/>
  <c r="B275"/>
  <c r="Y275" s="1"/>
  <c r="R274"/>
  <c r="B274"/>
  <c r="Y274" s="1"/>
  <c r="R273"/>
  <c r="B273"/>
  <c r="Y273" s="1"/>
  <c r="R272"/>
  <c r="B272"/>
  <c r="C272" s="1"/>
  <c r="R271"/>
  <c r="B271"/>
  <c r="Y271" s="1"/>
  <c r="R270"/>
  <c r="B270"/>
  <c r="Y270" s="1"/>
  <c r="R269"/>
  <c r="B269"/>
  <c r="Y269" s="1"/>
  <c r="R268"/>
  <c r="B268"/>
  <c r="Y268" s="1"/>
  <c r="R267"/>
  <c r="B267"/>
  <c r="Y267" s="1"/>
  <c r="R266"/>
  <c r="B266"/>
  <c r="Y266" s="1"/>
  <c r="R265"/>
  <c r="B265"/>
  <c r="Y265" s="1"/>
  <c r="R264"/>
  <c r="B264"/>
  <c r="Y264" s="1"/>
  <c r="R263"/>
  <c r="B263"/>
  <c r="Y263" s="1"/>
  <c r="R262"/>
  <c r="B262"/>
  <c r="Y262" s="1"/>
  <c r="R261"/>
  <c r="B261"/>
  <c r="Y261" s="1"/>
  <c r="R260"/>
  <c r="B260"/>
  <c r="Y260" s="1"/>
  <c r="R259"/>
  <c r="B259"/>
  <c r="Y259" s="1"/>
  <c r="R258"/>
  <c r="B258"/>
  <c r="Y258" s="1"/>
  <c r="R257"/>
  <c r="B257"/>
  <c r="Y257" s="1"/>
  <c r="R256"/>
  <c r="B256"/>
  <c r="Y256" s="1"/>
  <c r="R255"/>
  <c r="B255"/>
  <c r="Y255" s="1"/>
  <c r="R254"/>
  <c r="B254"/>
  <c r="Y254" s="1"/>
  <c r="R253"/>
  <c r="B253"/>
  <c r="Y253" s="1"/>
  <c r="R252"/>
  <c r="B252"/>
  <c r="Y252" s="1"/>
  <c r="R251"/>
  <c r="B251"/>
  <c r="Y251" s="1"/>
  <c r="R250"/>
  <c r="B250"/>
  <c r="Y250" s="1"/>
  <c r="R249"/>
  <c r="B249"/>
  <c r="Y249" s="1"/>
  <c r="R248"/>
  <c r="B248"/>
  <c r="Y248" s="1"/>
  <c r="R247"/>
  <c r="B247"/>
  <c r="C247" s="1"/>
  <c r="R246"/>
  <c r="B246"/>
  <c r="Y246" s="1"/>
  <c r="R245"/>
  <c r="B245"/>
  <c r="Y245" s="1"/>
  <c r="R244"/>
  <c r="B244"/>
  <c r="Y244" s="1"/>
  <c r="R243"/>
  <c r="B243"/>
  <c r="Y243" s="1"/>
  <c r="R242"/>
  <c r="B242"/>
  <c r="Y242" s="1"/>
  <c r="R241"/>
  <c r="B241"/>
  <c r="Y241" s="1"/>
  <c r="R240"/>
  <c r="B240"/>
  <c r="Y240" s="1"/>
  <c r="R239"/>
  <c r="B239"/>
  <c r="Y239" s="1"/>
  <c r="R238"/>
  <c r="B238"/>
  <c r="Y238" s="1"/>
  <c r="R237"/>
  <c r="B237"/>
  <c r="R236"/>
  <c r="B236"/>
  <c r="R235"/>
  <c r="B235"/>
  <c r="R234"/>
  <c r="B234"/>
  <c r="R233"/>
  <c r="B233"/>
  <c r="R232"/>
  <c r="B232"/>
  <c r="R231"/>
  <c r="B231"/>
  <c r="C231" s="1"/>
  <c r="R230"/>
  <c r="B230"/>
  <c r="C230" s="1"/>
  <c r="R229"/>
  <c r="B229"/>
  <c r="Y229" s="1"/>
  <c r="R228"/>
  <c r="B228"/>
  <c r="C228" s="1"/>
  <c r="R227"/>
  <c r="B227"/>
  <c r="Y227" s="1"/>
  <c r="R226"/>
  <c r="B226"/>
  <c r="C226" s="1"/>
  <c r="R225"/>
  <c r="B225"/>
  <c r="Y225" s="1"/>
  <c r="R224"/>
  <c r="B224"/>
  <c r="C224" s="1"/>
  <c r="R223"/>
  <c r="B223"/>
  <c r="Y223" s="1"/>
  <c r="R222"/>
  <c r="B222"/>
  <c r="C222" s="1"/>
  <c r="R221"/>
  <c r="B221"/>
  <c r="Y221" s="1"/>
  <c r="R220"/>
  <c r="B220"/>
  <c r="C220" s="1"/>
  <c r="R219"/>
  <c r="B219"/>
  <c r="Y219" s="1"/>
  <c r="R218"/>
  <c r="B218"/>
  <c r="C218" s="1"/>
  <c r="R217"/>
  <c r="B217"/>
  <c r="Y217" s="1"/>
  <c r="R216"/>
  <c r="B216"/>
  <c r="C216" s="1"/>
  <c r="R215"/>
  <c r="B215"/>
  <c r="C215" s="1"/>
  <c r="R214"/>
  <c r="B214"/>
  <c r="R213"/>
  <c r="B213"/>
  <c r="R212"/>
  <c r="B212"/>
  <c r="R211"/>
  <c r="B211"/>
  <c r="R210"/>
  <c r="B210"/>
  <c r="R209"/>
  <c r="B209"/>
  <c r="R208"/>
  <c r="B208"/>
  <c r="R207"/>
  <c r="B207"/>
  <c r="R206"/>
  <c r="B206"/>
  <c r="R205"/>
  <c r="B205"/>
  <c r="R204"/>
  <c r="B204"/>
  <c r="R203"/>
  <c r="B203"/>
  <c r="R202"/>
  <c r="B202"/>
  <c r="R201"/>
  <c r="B201"/>
  <c r="R200"/>
  <c r="B200"/>
  <c r="R199"/>
  <c r="B199"/>
  <c r="C199" s="1"/>
  <c r="R198"/>
  <c r="B198"/>
  <c r="Y198" s="1"/>
  <c r="R197"/>
  <c r="B197"/>
  <c r="Y197" s="1"/>
  <c r="R196"/>
  <c r="B196"/>
  <c r="Y196" s="1"/>
  <c r="R195"/>
  <c r="B195"/>
  <c r="Y195" s="1"/>
  <c r="R194"/>
  <c r="B194"/>
  <c r="Y194" s="1"/>
  <c r="R193"/>
  <c r="B193"/>
  <c r="Y193" s="1"/>
  <c r="R192"/>
  <c r="B192"/>
  <c r="Y192" s="1"/>
  <c r="R191"/>
  <c r="B191"/>
  <c r="Y191" s="1"/>
  <c r="R190"/>
  <c r="B190"/>
  <c r="Y190" s="1"/>
  <c r="R189"/>
  <c r="B189"/>
  <c r="Y189" s="1"/>
  <c r="R188"/>
  <c r="B188"/>
  <c r="Y188" s="1"/>
  <c r="R187"/>
  <c r="B187"/>
  <c r="Y187" s="1"/>
  <c r="R186"/>
  <c r="B186"/>
  <c r="Y186" s="1"/>
  <c r="R185"/>
  <c r="B185"/>
  <c r="Y185" s="1"/>
  <c r="R184"/>
  <c r="B184"/>
  <c r="Y184" s="1"/>
  <c r="R183"/>
  <c r="B183"/>
  <c r="C183" s="1"/>
  <c r="R182"/>
  <c r="B182"/>
  <c r="R181"/>
  <c r="B181"/>
  <c r="R180"/>
  <c r="B180"/>
  <c r="R179"/>
  <c r="B179"/>
  <c r="R178"/>
  <c r="B178"/>
  <c r="R177"/>
  <c r="B177"/>
  <c r="R176"/>
  <c r="B176"/>
  <c r="R175"/>
  <c r="B175"/>
  <c r="R174"/>
  <c r="B174"/>
  <c r="R173"/>
  <c r="B173"/>
  <c r="R172"/>
  <c r="B172"/>
  <c r="R171"/>
  <c r="B171"/>
  <c r="R170"/>
  <c r="B170"/>
  <c r="R169"/>
  <c r="B169"/>
  <c r="R168"/>
  <c r="B168"/>
  <c r="R167"/>
  <c r="B167"/>
  <c r="R166"/>
  <c r="B166"/>
  <c r="R165"/>
  <c r="B165"/>
  <c r="R164"/>
  <c r="B164"/>
  <c r="R163"/>
  <c r="B163"/>
  <c r="R162"/>
  <c r="B162"/>
  <c r="R161"/>
  <c r="B161"/>
  <c r="R160"/>
  <c r="B160"/>
  <c r="R159"/>
  <c r="B159"/>
  <c r="R158"/>
  <c r="B158"/>
  <c r="R157"/>
  <c r="B157"/>
  <c r="R156"/>
  <c r="B156"/>
  <c r="R155"/>
  <c r="B155"/>
  <c r="C155" s="1"/>
  <c r="R154"/>
  <c r="B154"/>
  <c r="Y154" s="1"/>
  <c r="R153"/>
  <c r="B153"/>
  <c r="Y153" s="1"/>
  <c r="R152"/>
  <c r="B152"/>
  <c r="Y152" s="1"/>
  <c r="R151"/>
  <c r="B151"/>
  <c r="Y151" s="1"/>
  <c r="R150"/>
  <c r="B150"/>
  <c r="Y150" s="1"/>
  <c r="R149"/>
  <c r="B149"/>
  <c r="Y149" s="1"/>
  <c r="R148"/>
  <c r="B148"/>
  <c r="Y148" s="1"/>
  <c r="R147"/>
  <c r="B147"/>
  <c r="Y147" s="1"/>
  <c r="R146"/>
  <c r="B146"/>
  <c r="Y146" s="1"/>
  <c r="R145"/>
  <c r="B145"/>
  <c r="Y145" s="1"/>
  <c r="R144"/>
  <c r="B144"/>
  <c r="Y144" s="1"/>
  <c r="R143"/>
  <c r="B143"/>
  <c r="Y143" s="1"/>
  <c r="R142"/>
  <c r="B142"/>
  <c r="Y142" s="1"/>
  <c r="R141"/>
  <c r="B141"/>
  <c r="Y141" s="1"/>
  <c r="R140"/>
  <c r="B140"/>
  <c r="Y140" s="1"/>
  <c r="R139"/>
  <c r="B139"/>
  <c r="C139" s="1"/>
  <c r="R138"/>
  <c r="B138"/>
  <c r="R137"/>
  <c r="B137"/>
  <c r="R136"/>
  <c r="B136"/>
  <c r="Y136" s="1"/>
  <c r="R135"/>
  <c r="B135"/>
  <c r="Y135" s="1"/>
  <c r="R134"/>
  <c r="B134"/>
  <c r="Y134" s="1"/>
  <c r="R133"/>
  <c r="B133"/>
  <c r="Y133" s="1"/>
  <c r="R132"/>
  <c r="B132"/>
  <c r="Y132" s="1"/>
  <c r="R131"/>
  <c r="B131"/>
  <c r="Y131" s="1"/>
  <c r="R130"/>
  <c r="B130"/>
  <c r="Y130" s="1"/>
  <c r="R129"/>
  <c r="B129"/>
  <c r="Y129" s="1"/>
  <c r="R128"/>
  <c r="B128"/>
  <c r="Y128" s="1"/>
  <c r="R127"/>
  <c r="B127"/>
  <c r="Y127" s="1"/>
  <c r="R126"/>
  <c r="B126"/>
  <c r="Y126" s="1"/>
  <c r="R125"/>
  <c r="B125"/>
  <c r="Y125" s="1"/>
  <c r="R124"/>
  <c r="B124"/>
  <c r="Y124" s="1"/>
  <c r="R123"/>
  <c r="B123"/>
  <c r="C123" s="1"/>
  <c r="R122"/>
  <c r="B122"/>
  <c r="Y122" s="1"/>
  <c r="R121"/>
  <c r="B121"/>
  <c r="Y121" s="1"/>
  <c r="R120"/>
  <c r="B120"/>
  <c r="Y120" s="1"/>
  <c r="R119"/>
  <c r="B119"/>
  <c r="Y119" s="1"/>
  <c r="R118"/>
  <c r="B118"/>
  <c r="Y118" s="1"/>
  <c r="R117"/>
  <c r="B117"/>
  <c r="Y117" s="1"/>
  <c r="R116"/>
  <c r="B116"/>
  <c r="Y116" s="1"/>
  <c r="R115"/>
  <c r="B115"/>
  <c r="Y115" s="1"/>
  <c r="R114"/>
  <c r="B114"/>
  <c r="Y114" s="1"/>
  <c r="R113"/>
  <c r="B113"/>
  <c r="Y113" s="1"/>
  <c r="R112"/>
  <c r="B112"/>
  <c r="Y112" s="1"/>
  <c r="R111"/>
  <c r="B111"/>
  <c r="Y111" s="1"/>
  <c r="R110"/>
  <c r="B110"/>
  <c r="Y110" s="1"/>
  <c r="R109"/>
  <c r="B109"/>
  <c r="Y109" s="1"/>
  <c r="R108"/>
  <c r="B108"/>
  <c r="Y108" s="1"/>
  <c r="R107"/>
  <c r="B107"/>
  <c r="C107" s="1"/>
  <c r="R106"/>
  <c r="B106"/>
  <c r="Y106" s="1"/>
  <c r="R105"/>
  <c r="B105"/>
  <c r="Y105" s="1"/>
  <c r="R104"/>
  <c r="B104"/>
  <c r="Y104" s="1"/>
  <c r="R103"/>
  <c r="B103"/>
  <c r="Y103" s="1"/>
  <c r="R102"/>
  <c r="B102"/>
  <c r="Y102" s="1"/>
  <c r="R101"/>
  <c r="B101"/>
  <c r="Y101" s="1"/>
  <c r="R100"/>
  <c r="B100"/>
  <c r="Y100" s="1"/>
  <c r="R99"/>
  <c r="B99"/>
  <c r="Y99" s="1"/>
  <c r="R98"/>
  <c r="B98"/>
  <c r="Y98" s="1"/>
  <c r="R97"/>
  <c r="B97"/>
  <c r="Y97" s="1"/>
  <c r="R96"/>
  <c r="B96"/>
  <c r="Y96" s="1"/>
  <c r="R95"/>
  <c r="B95"/>
  <c r="Y95" s="1"/>
  <c r="R94"/>
  <c r="B94"/>
  <c r="Y94" s="1"/>
  <c r="R93"/>
  <c r="B93"/>
  <c r="Y93" s="1"/>
  <c r="R92"/>
  <c r="B92"/>
  <c r="Y92" s="1"/>
  <c r="R91"/>
  <c r="B91"/>
  <c r="C91" s="1"/>
  <c r="R90"/>
  <c r="B90"/>
  <c r="Y90" s="1"/>
  <c r="R89"/>
  <c r="B89"/>
  <c r="C89" s="1"/>
  <c r="R88"/>
  <c r="B88"/>
  <c r="Y88" s="1"/>
  <c r="R87"/>
  <c r="B87"/>
  <c r="C87" s="1"/>
  <c r="R86"/>
  <c r="B86"/>
  <c r="Y86" s="1"/>
  <c r="R85"/>
  <c r="B85"/>
  <c r="C85" s="1"/>
  <c r="R84"/>
  <c r="B84"/>
  <c r="Y84" s="1"/>
  <c r="R83"/>
  <c r="B83"/>
  <c r="C83" s="1"/>
  <c r="R82"/>
  <c r="B82"/>
  <c r="Y82" s="1"/>
  <c r="R81"/>
  <c r="B81"/>
  <c r="C81" s="1"/>
  <c r="R80"/>
  <c r="B80"/>
  <c r="Y80" s="1"/>
  <c r="R79"/>
  <c r="B79"/>
  <c r="C79" s="1"/>
  <c r="R78"/>
  <c r="B78"/>
  <c r="Y78" s="1"/>
  <c r="R77"/>
  <c r="B77"/>
  <c r="C77" s="1"/>
  <c r="R76"/>
  <c r="B76"/>
  <c r="Y76" s="1"/>
  <c r="R75"/>
  <c r="B75"/>
  <c r="C75" s="1"/>
  <c r="R74"/>
  <c r="B74"/>
  <c r="Y74" s="1"/>
  <c r="R73"/>
  <c r="B73"/>
  <c r="C73" s="1"/>
  <c r="R72"/>
  <c r="B72"/>
  <c r="Y72" s="1"/>
  <c r="R71"/>
  <c r="B71"/>
  <c r="C71" s="1"/>
  <c r="R70"/>
  <c r="B70"/>
  <c r="Y70" s="1"/>
  <c r="R69"/>
  <c r="B69"/>
  <c r="C69" s="1"/>
  <c r="R68"/>
  <c r="B68"/>
  <c r="Y68" s="1"/>
  <c r="R67"/>
  <c r="B67"/>
  <c r="C67" s="1"/>
  <c r="R66"/>
  <c r="B66"/>
  <c r="Y66" s="1"/>
  <c r="R65"/>
  <c r="B65"/>
  <c r="C65" s="1"/>
  <c r="R64"/>
  <c r="B64"/>
  <c r="Y64" s="1"/>
  <c r="R63"/>
  <c r="B63"/>
  <c r="Y63" s="1"/>
  <c r="R62"/>
  <c r="B62"/>
  <c r="Y62" s="1"/>
  <c r="R61"/>
  <c r="B61"/>
  <c r="Y61" s="1"/>
  <c r="R60"/>
  <c r="B60"/>
  <c r="Y60" s="1"/>
  <c r="R59"/>
  <c r="B59"/>
  <c r="C59" s="1"/>
  <c r="R58"/>
  <c r="B58"/>
  <c r="Y58" s="1"/>
  <c r="R57"/>
  <c r="B57"/>
  <c r="Y57" s="1"/>
  <c r="R56"/>
  <c r="B56"/>
  <c r="Y56" s="1"/>
  <c r="R55"/>
  <c r="B55"/>
  <c r="Y55" s="1"/>
  <c r="R54"/>
  <c r="B54"/>
  <c r="Y54" s="1"/>
  <c r="R53"/>
  <c r="B53"/>
  <c r="Y53" s="1"/>
  <c r="R52"/>
  <c r="B52"/>
  <c r="Y52" s="1"/>
  <c r="R51"/>
  <c r="B51"/>
  <c r="Y51" s="1"/>
  <c r="R50"/>
  <c r="B50"/>
  <c r="Y50" s="1"/>
  <c r="R49"/>
  <c r="B49"/>
  <c r="Y49" s="1"/>
  <c r="R48"/>
  <c r="B48"/>
  <c r="Y48" s="1"/>
  <c r="R47"/>
  <c r="B47"/>
  <c r="C47" s="1"/>
  <c r="R46"/>
  <c r="B46"/>
  <c r="Y46" s="1"/>
  <c r="R45"/>
  <c r="B45"/>
  <c r="Y45" s="1"/>
  <c r="R44"/>
  <c r="B44"/>
  <c r="Y44" s="1"/>
  <c r="R43"/>
  <c r="B43"/>
  <c r="Y43" s="1"/>
  <c r="R42"/>
  <c r="B42"/>
  <c r="Y42" s="1"/>
  <c r="R41"/>
  <c r="B41"/>
  <c r="Y41" s="1"/>
  <c r="R40"/>
  <c r="B40"/>
  <c r="Y40" s="1"/>
  <c r="R39"/>
  <c r="B39"/>
  <c r="Y39" s="1"/>
  <c r="R38"/>
  <c r="B38"/>
  <c r="Y38" s="1"/>
  <c r="R37"/>
  <c r="B37"/>
  <c r="Y37" s="1"/>
  <c r="R36"/>
  <c r="B36"/>
  <c r="Y36" s="1"/>
  <c r="R35"/>
  <c r="B35"/>
  <c r="Y35" s="1"/>
  <c r="R34"/>
  <c r="B34"/>
  <c r="Y34" s="1"/>
  <c r="R33"/>
  <c r="B33"/>
  <c r="Y33" s="1"/>
  <c r="R32"/>
  <c r="B32"/>
  <c r="Y32" s="1"/>
  <c r="R31"/>
  <c r="B31"/>
  <c r="C31" s="1"/>
  <c r="R30"/>
  <c r="B30"/>
  <c r="Y30" s="1"/>
  <c r="R29"/>
  <c r="B29"/>
  <c r="Y29" s="1"/>
  <c r="R28"/>
  <c r="B28"/>
  <c r="Y28" s="1"/>
  <c r="R27"/>
  <c r="B27"/>
  <c r="Y27" s="1"/>
  <c r="R26"/>
  <c r="B26"/>
  <c r="Y26" s="1"/>
  <c r="R25"/>
  <c r="B25"/>
  <c r="Y25" s="1"/>
  <c r="R24"/>
  <c r="B24"/>
  <c r="Y24" s="1"/>
  <c r="R23"/>
  <c r="B23"/>
  <c r="Y23" s="1"/>
  <c r="R22"/>
  <c r="B22"/>
  <c r="Y22" s="1"/>
  <c r="R21"/>
  <c r="B21"/>
  <c r="Y21" s="1"/>
  <c r="J48" i="8" l="1"/>
  <c r="J43"/>
  <c r="F38" i="7"/>
  <c r="M10"/>
  <c r="N33" i="8"/>
  <c r="N37"/>
  <c r="N36"/>
  <c r="N35"/>
  <c r="N34"/>
  <c r="I29" i="7"/>
  <c r="L31" s="1"/>
  <c r="C223" i="12"/>
  <c r="C311"/>
  <c r="C219"/>
  <c r="C227"/>
  <c r="C307"/>
  <c r="C315"/>
  <c r="C217"/>
  <c r="C221"/>
  <c r="C225"/>
  <c r="C229"/>
  <c r="C305"/>
  <c r="C309"/>
  <c r="C313"/>
  <c r="C317"/>
  <c r="C66"/>
  <c r="Y67"/>
  <c r="C68"/>
  <c r="Y69"/>
  <c r="C70"/>
  <c r="Y71"/>
  <c r="C72"/>
  <c r="Y73"/>
  <c r="C74"/>
  <c r="Y75"/>
  <c r="C76"/>
  <c r="Y77"/>
  <c r="C78"/>
  <c r="Y79"/>
  <c r="C80"/>
  <c r="Y81"/>
  <c r="C82"/>
  <c r="Y83"/>
  <c r="C84"/>
  <c r="Y85"/>
  <c r="C86"/>
  <c r="Y87"/>
  <c r="C88"/>
  <c r="Y89"/>
  <c r="C90"/>
  <c r="Y216"/>
  <c r="Y218"/>
  <c r="Y220"/>
  <c r="Y222"/>
  <c r="Y224"/>
  <c r="Y226"/>
  <c r="Y228"/>
  <c r="Y230"/>
  <c r="C306"/>
  <c r="C308"/>
  <c r="C310"/>
  <c r="C312"/>
  <c r="C314"/>
  <c r="C316"/>
  <c r="F32" i="7"/>
  <c r="C30"/>
  <c r="E9" s="1"/>
  <c r="J29"/>
  <c r="C318" i="12"/>
  <c r="C319"/>
  <c r="P25" i="11"/>
  <c r="P26"/>
  <c r="P28"/>
  <c r="J7" s="1"/>
  <c r="R26"/>
  <c r="P27"/>
  <c r="C21" i="12"/>
  <c r="C22"/>
  <c r="C23"/>
  <c r="C24"/>
  <c r="C25"/>
  <c r="C26"/>
  <c r="C27"/>
  <c r="C28"/>
  <c r="C29"/>
  <c r="C30"/>
  <c r="C140"/>
  <c r="C141"/>
  <c r="C142"/>
  <c r="C143"/>
  <c r="C144"/>
  <c r="C145"/>
  <c r="C146"/>
  <c r="C147"/>
  <c r="C148"/>
  <c r="C149"/>
  <c r="C150"/>
  <c r="C151"/>
  <c r="C152"/>
  <c r="C153"/>
  <c r="C154"/>
  <c r="C385"/>
  <c r="C386"/>
  <c r="C387"/>
  <c r="C388"/>
  <c r="C389"/>
  <c r="C390"/>
  <c r="C391"/>
  <c r="C392"/>
  <c r="C393"/>
  <c r="C394"/>
  <c r="C395"/>
  <c r="C396"/>
  <c r="C397"/>
  <c r="C398"/>
  <c r="C48"/>
  <c r="C49"/>
  <c r="C50"/>
  <c r="C51"/>
  <c r="C52"/>
  <c r="C53"/>
  <c r="C54"/>
  <c r="C55"/>
  <c r="C56"/>
  <c r="C57"/>
  <c r="C58"/>
  <c r="C108"/>
  <c r="C109"/>
  <c r="C110"/>
  <c r="C111"/>
  <c r="C112"/>
  <c r="C113"/>
  <c r="C114"/>
  <c r="C115"/>
  <c r="C116"/>
  <c r="C117"/>
  <c r="C118"/>
  <c r="C119"/>
  <c r="C120"/>
  <c r="C121"/>
  <c r="C122"/>
  <c r="C184"/>
  <c r="C185"/>
  <c r="C186"/>
  <c r="C187"/>
  <c r="C188"/>
  <c r="C189"/>
  <c r="C190"/>
  <c r="C191"/>
  <c r="C192"/>
  <c r="C193"/>
  <c r="C194"/>
  <c r="C195"/>
  <c r="C196"/>
  <c r="C197"/>
  <c r="C198"/>
  <c r="C248"/>
  <c r="C249"/>
  <c r="C250"/>
  <c r="C251"/>
  <c r="C252"/>
  <c r="C253"/>
  <c r="C254"/>
  <c r="C255"/>
  <c r="C256"/>
  <c r="C257"/>
  <c r="C258"/>
  <c r="C259"/>
  <c r="C260"/>
  <c r="C261"/>
  <c r="C262"/>
  <c r="C263"/>
  <c r="C264"/>
  <c r="C265"/>
  <c r="C266"/>
  <c r="C267"/>
  <c r="C268"/>
  <c r="C273"/>
  <c r="C274"/>
  <c r="C275"/>
  <c r="C276"/>
  <c r="C277"/>
  <c r="C278"/>
  <c r="C279"/>
  <c r="C280"/>
  <c r="C281"/>
  <c r="C282"/>
  <c r="C283"/>
  <c r="C284"/>
  <c r="C285"/>
  <c r="C286"/>
  <c r="C287"/>
  <c r="C337"/>
  <c r="C338"/>
  <c r="C339"/>
  <c r="C340"/>
  <c r="C341"/>
  <c r="C342"/>
  <c r="C343"/>
  <c r="C344"/>
  <c r="C345"/>
  <c r="C346"/>
  <c r="C347"/>
  <c r="C348"/>
  <c r="C349"/>
  <c r="C350"/>
  <c r="C351"/>
  <c r="C399"/>
  <c r="Y156"/>
  <c r="C156"/>
  <c r="Y157"/>
  <c r="C157"/>
  <c r="Y158"/>
  <c r="C158"/>
  <c r="Y159"/>
  <c r="C159"/>
  <c r="Y160"/>
  <c r="C160"/>
  <c r="Y161"/>
  <c r="C161"/>
  <c r="Y162"/>
  <c r="C162"/>
  <c r="Y163"/>
  <c r="C163"/>
  <c r="Y164"/>
  <c r="C164"/>
  <c r="Y165"/>
  <c r="C165"/>
  <c r="Y166"/>
  <c r="C166"/>
  <c r="Y167"/>
  <c r="C167"/>
  <c r="Y168"/>
  <c r="C168"/>
  <c r="Y169"/>
  <c r="C169"/>
  <c r="Y170"/>
  <c r="C170"/>
  <c r="Y171"/>
  <c r="C171"/>
  <c r="Y172"/>
  <c r="C172"/>
  <c r="Y173"/>
  <c r="C173"/>
  <c r="Y174"/>
  <c r="C174"/>
  <c r="Y175"/>
  <c r="C175"/>
  <c r="Y176"/>
  <c r="C176"/>
  <c r="Y177"/>
  <c r="C177"/>
  <c r="Y178"/>
  <c r="C178"/>
  <c r="Y179"/>
  <c r="C179"/>
  <c r="Y180"/>
  <c r="C180"/>
  <c r="Y181"/>
  <c r="C181"/>
  <c r="Y182"/>
  <c r="C182"/>
  <c r="Y232"/>
  <c r="C232"/>
  <c r="Y233"/>
  <c r="C233"/>
  <c r="Y234"/>
  <c r="C234"/>
  <c r="Y235"/>
  <c r="C235"/>
  <c r="Y236"/>
  <c r="C236"/>
  <c r="Y237"/>
  <c r="C237"/>
  <c r="Y137"/>
  <c r="C137"/>
  <c r="Y138"/>
  <c r="C138"/>
  <c r="Y200"/>
  <c r="C200"/>
  <c r="Y201"/>
  <c r="C201"/>
  <c r="Y202"/>
  <c r="C202"/>
  <c r="Y203"/>
  <c r="C203"/>
  <c r="Y204"/>
  <c r="C204"/>
  <c r="Y205"/>
  <c r="C205"/>
  <c r="Y206"/>
  <c r="C206"/>
  <c r="Y207"/>
  <c r="C207"/>
  <c r="Y208"/>
  <c r="C208"/>
  <c r="Y209"/>
  <c r="C209"/>
  <c r="Y210"/>
  <c r="C210"/>
  <c r="Y211"/>
  <c r="C211"/>
  <c r="Y212"/>
  <c r="C212"/>
  <c r="Y213"/>
  <c r="C213"/>
  <c r="Y214"/>
  <c r="C214"/>
  <c r="C32"/>
  <c r="C33"/>
  <c r="C34"/>
  <c r="C35"/>
  <c r="C36"/>
  <c r="C37"/>
  <c r="C38"/>
  <c r="C39"/>
  <c r="C40"/>
  <c r="C41"/>
  <c r="C42"/>
  <c r="C43"/>
  <c r="C44"/>
  <c r="C45"/>
  <c r="C46"/>
  <c r="C60"/>
  <c r="C61"/>
  <c r="C62"/>
  <c r="C63"/>
  <c r="C64"/>
  <c r="C92"/>
  <c r="C93"/>
  <c r="C94"/>
  <c r="C95"/>
  <c r="C96"/>
  <c r="C97"/>
  <c r="C98"/>
  <c r="C99"/>
  <c r="C100"/>
  <c r="C101"/>
  <c r="C102"/>
  <c r="C103"/>
  <c r="C104"/>
  <c r="C105"/>
  <c r="C106"/>
  <c r="C124"/>
  <c r="C125"/>
  <c r="C126"/>
  <c r="C127"/>
  <c r="C128"/>
  <c r="C129"/>
  <c r="C130"/>
  <c r="C131"/>
  <c r="C132"/>
  <c r="C133"/>
  <c r="C134"/>
  <c r="C135"/>
  <c r="C136"/>
  <c r="C238"/>
  <c r="C239"/>
  <c r="C240"/>
  <c r="C241"/>
  <c r="C242"/>
  <c r="C243"/>
  <c r="C244"/>
  <c r="C245"/>
  <c r="C246"/>
  <c r="C269"/>
  <c r="C270"/>
  <c r="C271"/>
  <c r="C289"/>
  <c r="C290"/>
  <c r="C291"/>
  <c r="C292"/>
  <c r="C293"/>
  <c r="C294"/>
  <c r="C295"/>
  <c r="C296"/>
  <c r="C297"/>
  <c r="C298"/>
  <c r="C299"/>
  <c r="C300"/>
  <c r="C301"/>
  <c r="C302"/>
  <c r="C303"/>
  <c r="C321"/>
  <c r="C322"/>
  <c r="C323"/>
  <c r="C324"/>
  <c r="C325"/>
  <c r="C326"/>
  <c r="C327"/>
  <c r="C328"/>
  <c r="C329"/>
  <c r="C330"/>
  <c r="C331"/>
  <c r="C332"/>
  <c r="C333"/>
  <c r="C334"/>
  <c r="C335"/>
  <c r="C353"/>
  <c r="C354"/>
  <c r="C355"/>
  <c r="C356"/>
  <c r="C357"/>
  <c r="C358"/>
  <c r="C359"/>
  <c r="C360"/>
  <c r="C361"/>
  <c r="C362"/>
  <c r="C363"/>
  <c r="C364"/>
  <c r="C365"/>
  <c r="C366"/>
  <c r="C367"/>
  <c r="C368"/>
  <c r="C369"/>
  <c r="C370"/>
  <c r="C371"/>
  <c r="C372"/>
  <c r="C373"/>
  <c r="C374"/>
  <c r="C375"/>
  <c r="C376"/>
  <c r="C377"/>
  <c r="C378"/>
  <c r="C379"/>
  <c r="C380"/>
  <c r="C381"/>
  <c r="C382"/>
  <c r="C383"/>
  <c r="R20"/>
  <c r="B20"/>
  <c r="C20" s="1"/>
  <c r="R19"/>
  <c r="B19"/>
  <c r="Y19" s="1"/>
  <c r="R18"/>
  <c r="B18"/>
  <c r="C18" s="1"/>
  <c r="R17"/>
  <c r="B17"/>
  <c r="Y17" s="1"/>
  <c r="R16"/>
  <c r="B16"/>
  <c r="C16" s="1"/>
  <c r="R15"/>
  <c r="B15"/>
  <c r="Y15" s="1"/>
  <c r="R14"/>
  <c r="B14"/>
  <c r="C14" s="1"/>
  <c r="R13"/>
  <c r="B13"/>
  <c r="Y13" s="1"/>
  <c r="R12"/>
  <c r="B12"/>
  <c r="C12" s="1"/>
  <c r="R11"/>
  <c r="B11"/>
  <c r="Y11" s="1"/>
  <c r="R10"/>
  <c r="B10"/>
  <c r="C10" s="1"/>
  <c r="R9"/>
  <c r="B9"/>
  <c r="Y9" s="1"/>
  <c r="R8"/>
  <c r="B8"/>
  <c r="C8" s="1"/>
  <c r="R7"/>
  <c r="B7"/>
  <c r="Y7" s="1"/>
  <c r="R6"/>
  <c r="B6"/>
  <c r="C6" s="1"/>
  <c r="R5"/>
  <c r="B5"/>
  <c r="Y5" s="1"/>
  <c r="R4"/>
  <c r="B4"/>
  <c r="C4" s="1"/>
  <c r="C13" l="1"/>
  <c r="C9"/>
  <c r="C17"/>
  <c r="C7"/>
  <c r="C11"/>
  <c r="C15"/>
  <c r="C19"/>
  <c r="Y10"/>
  <c r="Y14"/>
  <c r="Y18"/>
  <c r="Y8"/>
  <c r="Y12"/>
  <c r="Y16"/>
  <c r="Y20"/>
  <c r="C5"/>
  <c r="R3"/>
  <c r="B3" l="1"/>
  <c r="D43" i="4"/>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F36" i="11"/>
  <c r="H33"/>
  <c r="F31"/>
  <c r="D21" l="1"/>
  <c r="F37"/>
  <c r="C3" i="12"/>
  <c r="G29" i="11"/>
  <c r="F29"/>
  <c r="J29" s="1"/>
  <c r="C29"/>
  <c r="K28"/>
  <c r="J28"/>
  <c r="I28"/>
  <c r="G28"/>
  <c r="L36" s="1"/>
  <c r="C28"/>
  <c r="I27"/>
  <c r="C27"/>
  <c r="W26"/>
  <c r="K26"/>
  <c r="J26"/>
  <c r="I26"/>
  <c r="H26"/>
  <c r="G26"/>
  <c r="F26"/>
  <c r="W25"/>
  <c r="K25"/>
  <c r="J25"/>
  <c r="I25"/>
  <c r="H25"/>
  <c r="G25"/>
  <c r="F25"/>
  <c r="W24"/>
  <c r="G22"/>
  <c r="F22"/>
  <c r="E22"/>
  <c r="M8" s="1"/>
  <c r="P19"/>
  <c r="M19"/>
  <c r="J19"/>
  <c r="F19"/>
  <c r="C19"/>
  <c r="R18"/>
  <c r="P18"/>
  <c r="M18"/>
  <c r="J18"/>
  <c r="F18"/>
  <c r="P17"/>
  <c r="M17"/>
  <c r="J17"/>
  <c r="F17"/>
  <c r="P16"/>
  <c r="M16"/>
  <c r="J16"/>
  <c r="F16"/>
  <c r="C16"/>
  <c r="P15"/>
  <c r="M15"/>
  <c r="J15"/>
  <c r="F15"/>
  <c r="P14"/>
  <c r="M14"/>
  <c r="J14"/>
  <c r="F14"/>
  <c r="P13"/>
  <c r="M13"/>
  <c r="J13"/>
  <c r="F13"/>
  <c r="W7"/>
  <c r="E5"/>
  <c r="D5"/>
  <c r="B4"/>
  <c r="S3"/>
  <c r="P3"/>
  <c r="M3"/>
  <c r="N4" s="1"/>
  <c r="N3" s="1"/>
  <c r="J3"/>
  <c r="F3"/>
  <c r="E3"/>
  <c r="C1"/>
  <c r="D398" i="12" l="1"/>
  <c r="D396"/>
  <c r="D394"/>
  <c r="D392"/>
  <c r="D390"/>
  <c r="D388"/>
  <c r="D386"/>
  <c r="D384"/>
  <c r="D382"/>
  <c r="D380"/>
  <c r="D378"/>
  <c r="D376"/>
  <c r="D374"/>
  <c r="D372"/>
  <c r="D370"/>
  <c r="D368"/>
  <c r="D366"/>
  <c r="D364"/>
  <c r="D362"/>
  <c r="D360"/>
  <c r="D358"/>
  <c r="D356"/>
  <c r="D354"/>
  <c r="D352"/>
  <c r="D350"/>
  <c r="D348"/>
  <c r="D346"/>
  <c r="D344"/>
  <c r="D342"/>
  <c r="D340"/>
  <c r="D338"/>
  <c r="D336"/>
  <c r="D334"/>
  <c r="D332"/>
  <c r="D330"/>
  <c r="D328"/>
  <c r="D326"/>
  <c r="D324"/>
  <c r="D322"/>
  <c r="D320"/>
  <c r="D318"/>
  <c r="D316"/>
  <c r="D314"/>
  <c r="D312"/>
  <c r="D310"/>
  <c r="D308"/>
  <c r="D306"/>
  <c r="D304"/>
  <c r="D302"/>
  <c r="D300"/>
  <c r="D298"/>
  <c r="D296"/>
  <c r="D294"/>
  <c r="D292"/>
  <c r="D290"/>
  <c r="D288"/>
  <c r="D286"/>
  <c r="D284"/>
  <c r="D282"/>
  <c r="D280"/>
  <c r="D278"/>
  <c r="D276"/>
  <c r="D274"/>
  <c r="D272"/>
  <c r="D270"/>
  <c r="D268"/>
  <c r="D266"/>
  <c r="D264"/>
  <c r="D262"/>
  <c r="D260"/>
  <c r="D258"/>
  <c r="D256"/>
  <c r="D254"/>
  <c r="D252"/>
  <c r="D250"/>
  <c r="D248"/>
  <c r="D246"/>
  <c r="D244"/>
  <c r="D242"/>
  <c r="D240"/>
  <c r="D238"/>
  <c r="D236"/>
  <c r="D234"/>
  <c r="D232"/>
  <c r="D230"/>
  <c r="D228"/>
  <c r="D226"/>
  <c r="D224"/>
  <c r="D222"/>
  <c r="D220"/>
  <c r="D218"/>
  <c r="D216"/>
  <c r="D214"/>
  <c r="D212"/>
  <c r="D210"/>
  <c r="D208"/>
  <c r="D206"/>
  <c r="D204"/>
  <c r="D202"/>
  <c r="D200"/>
  <c r="D198"/>
  <c r="D196"/>
  <c r="D194"/>
  <c r="D192"/>
  <c r="D190"/>
  <c r="D188"/>
  <c r="D186"/>
  <c r="D184"/>
  <c r="D182"/>
  <c r="D180"/>
  <c r="D178"/>
  <c r="D176"/>
  <c r="D174"/>
  <c r="D172"/>
  <c r="D170"/>
  <c r="D168"/>
  <c r="D166"/>
  <c r="D164"/>
  <c r="D162"/>
  <c r="D160"/>
  <c r="D158"/>
  <c r="D156"/>
  <c r="D154"/>
  <c r="D152"/>
  <c r="D150"/>
  <c r="D148"/>
  <c r="D146"/>
  <c r="D144"/>
  <c r="D142"/>
  <c r="D140"/>
  <c r="D138"/>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4"/>
  <c r="D42"/>
  <c r="D40"/>
  <c r="D38"/>
  <c r="D36"/>
  <c r="D34"/>
  <c r="D32"/>
  <c r="D30"/>
  <c r="D28"/>
  <c r="D26"/>
  <c r="D24"/>
  <c r="D22"/>
  <c r="N10" i="11"/>
  <c r="M10" s="1"/>
  <c r="D399" i="12"/>
  <c r="D397"/>
  <c r="D395"/>
  <c r="D393"/>
  <c r="D391"/>
  <c r="D389"/>
  <c r="D387"/>
  <c r="D385"/>
  <c r="D383"/>
  <c r="D381"/>
  <c r="D379"/>
  <c r="D377"/>
  <c r="D375"/>
  <c r="D373"/>
  <c r="D371"/>
  <c r="D369"/>
  <c r="D367"/>
  <c r="D365"/>
  <c r="D363"/>
  <c r="D361"/>
  <c r="D359"/>
  <c r="D357"/>
  <c r="D355"/>
  <c r="D353"/>
  <c r="D351"/>
  <c r="D349"/>
  <c r="D347"/>
  <c r="D345"/>
  <c r="D343"/>
  <c r="D341"/>
  <c r="D339"/>
  <c r="D337"/>
  <c r="D335"/>
  <c r="D333"/>
  <c r="D331"/>
  <c r="D329"/>
  <c r="D327"/>
  <c r="D325"/>
  <c r="D323"/>
  <c r="D321"/>
  <c r="D319"/>
  <c r="D317"/>
  <c r="D315"/>
  <c r="D313"/>
  <c r="D311"/>
  <c r="D309"/>
  <c r="D307"/>
  <c r="D305"/>
  <c r="D303"/>
  <c r="D301"/>
  <c r="D299"/>
  <c r="D297"/>
  <c r="D295"/>
  <c r="D293"/>
  <c r="D291"/>
  <c r="D289"/>
  <c r="D287"/>
  <c r="D285"/>
  <c r="D283"/>
  <c r="D281"/>
  <c r="D279"/>
  <c r="D277"/>
  <c r="D275"/>
  <c r="D273"/>
  <c r="D271"/>
  <c r="D269"/>
  <c r="D267"/>
  <c r="D263"/>
  <c r="D259"/>
  <c r="D255"/>
  <c r="D251"/>
  <c r="D247"/>
  <c r="D243"/>
  <c r="D239"/>
  <c r="D235"/>
  <c r="D231"/>
  <c r="D227"/>
  <c r="D223"/>
  <c r="D219"/>
  <c r="D215"/>
  <c r="D211"/>
  <c r="D207"/>
  <c r="D203"/>
  <c r="D199"/>
  <c r="D195"/>
  <c r="D191"/>
  <c r="D187"/>
  <c r="D183"/>
  <c r="D179"/>
  <c r="D175"/>
  <c r="D171"/>
  <c r="D167"/>
  <c r="D163"/>
  <c r="D159"/>
  <c r="D155"/>
  <c r="D151"/>
  <c r="D147"/>
  <c r="D143"/>
  <c r="D139"/>
  <c r="D135"/>
  <c r="D131"/>
  <c r="D127"/>
  <c r="D123"/>
  <c r="D119"/>
  <c r="D115"/>
  <c r="D111"/>
  <c r="D107"/>
  <c r="D103"/>
  <c r="D99"/>
  <c r="D95"/>
  <c r="D91"/>
  <c r="D87"/>
  <c r="D83"/>
  <c r="D79"/>
  <c r="D75"/>
  <c r="D71"/>
  <c r="D67"/>
  <c r="D63"/>
  <c r="D59"/>
  <c r="D55"/>
  <c r="D51"/>
  <c r="D47"/>
  <c r="D43"/>
  <c r="D39"/>
  <c r="D35"/>
  <c r="D31"/>
  <c r="D27"/>
  <c r="D23"/>
  <c r="D265"/>
  <c r="D261"/>
  <c r="D257"/>
  <c r="D253"/>
  <c r="D249"/>
  <c r="D245"/>
  <c r="D241"/>
  <c r="D237"/>
  <c r="D233"/>
  <c r="D229"/>
  <c r="D225"/>
  <c r="D221"/>
  <c r="D217"/>
  <c r="D213"/>
  <c r="D209"/>
  <c r="D205"/>
  <c r="D201"/>
  <c r="D197"/>
  <c r="D193"/>
  <c r="D189"/>
  <c r="D185"/>
  <c r="D181"/>
  <c r="D177"/>
  <c r="D173"/>
  <c r="D169"/>
  <c r="D165"/>
  <c r="D161"/>
  <c r="D157"/>
  <c r="D153"/>
  <c r="D149"/>
  <c r="D145"/>
  <c r="D141"/>
  <c r="D137"/>
  <c r="D133"/>
  <c r="D129"/>
  <c r="D125"/>
  <c r="D121"/>
  <c r="D117"/>
  <c r="D113"/>
  <c r="D109"/>
  <c r="D105"/>
  <c r="D101"/>
  <c r="D97"/>
  <c r="D93"/>
  <c r="D89"/>
  <c r="D85"/>
  <c r="D81"/>
  <c r="D77"/>
  <c r="D73"/>
  <c r="D69"/>
  <c r="D65"/>
  <c r="D61"/>
  <c r="D57"/>
  <c r="D53"/>
  <c r="D49"/>
  <c r="D45"/>
  <c r="D41"/>
  <c r="D37"/>
  <c r="D33"/>
  <c r="D29"/>
  <c r="D25"/>
  <c r="D21"/>
  <c r="D20"/>
  <c r="D18"/>
  <c r="D16"/>
  <c r="D14"/>
  <c r="D12"/>
  <c r="D10"/>
  <c r="D8"/>
  <c r="D6"/>
  <c r="D4"/>
  <c r="D17"/>
  <c r="D13"/>
  <c r="D9"/>
  <c r="D19"/>
  <c r="D15"/>
  <c r="D11"/>
  <c r="D7"/>
  <c r="D5"/>
  <c r="D3"/>
  <c r="K48" i="8"/>
  <c r="K43"/>
  <c r="J6" i="12"/>
  <c r="O6" s="1"/>
  <c r="J8"/>
  <c r="J10"/>
  <c r="J12"/>
  <c r="J14"/>
  <c r="J16"/>
  <c r="J18"/>
  <c r="J20"/>
  <c r="J22"/>
  <c r="J24"/>
  <c r="J26"/>
  <c r="J28"/>
  <c r="J30"/>
  <c r="J32"/>
  <c r="J34"/>
  <c r="J36"/>
  <c r="J38"/>
  <c r="J40"/>
  <c r="J42"/>
  <c r="J44"/>
  <c r="J46"/>
  <c r="J48"/>
  <c r="J50"/>
  <c r="J52"/>
  <c r="J54"/>
  <c r="J56"/>
  <c r="J58"/>
  <c r="J60"/>
  <c r="J62"/>
  <c r="O62" s="1"/>
  <c r="J64"/>
  <c r="J66"/>
  <c r="J68"/>
  <c r="J70"/>
  <c r="J72"/>
  <c r="J74"/>
  <c r="J76"/>
  <c r="J78"/>
  <c r="J80"/>
  <c r="J82"/>
  <c r="J84"/>
  <c r="J86"/>
  <c r="J88"/>
  <c r="J90"/>
  <c r="J92"/>
  <c r="J94"/>
  <c r="O94" s="1"/>
  <c r="J96"/>
  <c r="J98"/>
  <c r="O98" s="1"/>
  <c r="J100"/>
  <c r="J102"/>
  <c r="O102" s="1"/>
  <c r="J104"/>
  <c r="J106"/>
  <c r="O106" s="1"/>
  <c r="J108"/>
  <c r="J110"/>
  <c r="J112"/>
  <c r="J114"/>
  <c r="J116"/>
  <c r="J118"/>
  <c r="J120"/>
  <c r="J122"/>
  <c r="J124"/>
  <c r="J126"/>
  <c r="O126" s="1"/>
  <c r="J128"/>
  <c r="J130"/>
  <c r="O130" s="1"/>
  <c r="J132"/>
  <c r="J134"/>
  <c r="O134" s="1"/>
  <c r="J136"/>
  <c r="J138"/>
  <c r="O138" s="1"/>
  <c r="J140"/>
  <c r="J142"/>
  <c r="J144"/>
  <c r="J146"/>
  <c r="J148"/>
  <c r="J150"/>
  <c r="J152"/>
  <c r="J154"/>
  <c r="J156"/>
  <c r="J158"/>
  <c r="O158" s="1"/>
  <c r="J160"/>
  <c r="J162"/>
  <c r="O162" s="1"/>
  <c r="J164"/>
  <c r="J166"/>
  <c r="O166" s="1"/>
  <c r="J168"/>
  <c r="J170"/>
  <c r="O170" s="1"/>
  <c r="J172"/>
  <c r="J174"/>
  <c r="O174" s="1"/>
  <c r="J176"/>
  <c r="J178"/>
  <c r="O178" s="1"/>
  <c r="J180"/>
  <c r="J182"/>
  <c r="O182" s="1"/>
  <c r="J184"/>
  <c r="J186"/>
  <c r="J188"/>
  <c r="J190"/>
  <c r="J192"/>
  <c r="J194"/>
  <c r="J196"/>
  <c r="J198"/>
  <c r="J200"/>
  <c r="J202"/>
  <c r="O202" s="1"/>
  <c r="J204"/>
  <c r="J206"/>
  <c r="O206" s="1"/>
  <c r="J208"/>
  <c r="J210"/>
  <c r="O210" s="1"/>
  <c r="J212"/>
  <c r="J214"/>
  <c r="O214" s="1"/>
  <c r="J216"/>
  <c r="J218"/>
  <c r="J220"/>
  <c r="J222"/>
  <c r="J224"/>
  <c r="J226"/>
  <c r="J228"/>
  <c r="J230"/>
  <c r="O230" s="1"/>
  <c r="J232"/>
  <c r="J234"/>
  <c r="O234" s="1"/>
  <c r="J236"/>
  <c r="J238"/>
  <c r="O238" s="1"/>
  <c r="J240"/>
  <c r="J242"/>
  <c r="O242" s="1"/>
  <c r="J244"/>
  <c r="J246"/>
  <c r="O246" s="1"/>
  <c r="J248"/>
  <c r="J250"/>
  <c r="O250" s="1"/>
  <c r="J252"/>
  <c r="J254"/>
  <c r="O254" s="1"/>
  <c r="J256"/>
  <c r="J258"/>
  <c r="O258" s="1"/>
  <c r="J260"/>
  <c r="J262"/>
  <c r="O262" s="1"/>
  <c r="J264"/>
  <c r="J266"/>
  <c r="O266" s="1"/>
  <c r="J268"/>
  <c r="J270"/>
  <c r="O270" s="1"/>
  <c r="J272"/>
  <c r="J274"/>
  <c r="O274" s="1"/>
  <c r="J276"/>
  <c r="J278"/>
  <c r="O278" s="1"/>
  <c r="J280"/>
  <c r="J282"/>
  <c r="O282" s="1"/>
  <c r="J284"/>
  <c r="J286"/>
  <c r="O286" s="1"/>
  <c r="J288"/>
  <c r="J290"/>
  <c r="O290" s="1"/>
  <c r="J292"/>
  <c r="J294"/>
  <c r="O294" s="1"/>
  <c r="J296"/>
  <c r="J298"/>
  <c r="O298" s="1"/>
  <c r="J300"/>
  <c r="J302"/>
  <c r="O302" s="1"/>
  <c r="J304"/>
  <c r="J306"/>
  <c r="O306" s="1"/>
  <c r="J308"/>
  <c r="J310"/>
  <c r="O310" s="1"/>
  <c r="J312"/>
  <c r="J314"/>
  <c r="O314" s="1"/>
  <c r="J316"/>
  <c r="J318"/>
  <c r="O318" s="1"/>
  <c r="J320"/>
  <c r="J322"/>
  <c r="O322" s="1"/>
  <c r="J324"/>
  <c r="J326"/>
  <c r="O326" s="1"/>
  <c r="J328"/>
  <c r="J330"/>
  <c r="O330" s="1"/>
  <c r="J332"/>
  <c r="J334"/>
  <c r="O334" s="1"/>
  <c r="J336"/>
  <c r="J338"/>
  <c r="O338" s="1"/>
  <c r="J340"/>
  <c r="J342"/>
  <c r="O342" s="1"/>
  <c r="J344"/>
  <c r="J346"/>
  <c r="O346" s="1"/>
  <c r="J348"/>
  <c r="J350"/>
  <c r="O350" s="1"/>
  <c r="J352"/>
  <c r="J354"/>
  <c r="O354" s="1"/>
  <c r="J356"/>
  <c r="J358"/>
  <c r="O358" s="1"/>
  <c r="J360"/>
  <c r="J362"/>
  <c r="O362" s="1"/>
  <c r="J364"/>
  <c r="J366"/>
  <c r="O366" s="1"/>
  <c r="J368"/>
  <c r="J370"/>
  <c r="O370" s="1"/>
  <c r="J372"/>
  <c r="J374"/>
  <c r="O374" s="1"/>
  <c r="J376"/>
  <c r="J378"/>
  <c r="O378" s="1"/>
  <c r="J380"/>
  <c r="J382"/>
  <c r="O382" s="1"/>
  <c r="J384"/>
  <c r="J386"/>
  <c r="O386" s="1"/>
  <c r="J388"/>
  <c r="J390"/>
  <c r="O390" s="1"/>
  <c r="J392"/>
  <c r="J394"/>
  <c r="O394" s="1"/>
  <c r="J396"/>
  <c r="J398"/>
  <c r="O398" s="1"/>
  <c r="J4"/>
  <c r="J5"/>
  <c r="J7"/>
  <c r="J9"/>
  <c r="O9" s="1"/>
  <c r="J11"/>
  <c r="J13"/>
  <c r="O13" s="1"/>
  <c r="J15"/>
  <c r="J17"/>
  <c r="O17" s="1"/>
  <c r="J19"/>
  <c r="J21"/>
  <c r="O21" s="1"/>
  <c r="J23"/>
  <c r="J25"/>
  <c r="O25" s="1"/>
  <c r="J27"/>
  <c r="J29"/>
  <c r="O29" s="1"/>
  <c r="J31"/>
  <c r="J33"/>
  <c r="O33" s="1"/>
  <c r="J35"/>
  <c r="J37"/>
  <c r="O37" s="1"/>
  <c r="J39"/>
  <c r="J41"/>
  <c r="O41" s="1"/>
  <c r="J43"/>
  <c r="J45"/>
  <c r="O45" s="1"/>
  <c r="J47"/>
  <c r="J49"/>
  <c r="O49" s="1"/>
  <c r="J51"/>
  <c r="J53"/>
  <c r="O53" s="1"/>
  <c r="J55"/>
  <c r="J57"/>
  <c r="O57" s="1"/>
  <c r="J59"/>
  <c r="J61"/>
  <c r="O61" s="1"/>
  <c r="J63"/>
  <c r="J65"/>
  <c r="O65" s="1"/>
  <c r="J67"/>
  <c r="J69"/>
  <c r="J71"/>
  <c r="J73"/>
  <c r="J75"/>
  <c r="J77"/>
  <c r="J79"/>
  <c r="J81"/>
  <c r="J83"/>
  <c r="J85"/>
  <c r="J87"/>
  <c r="J89"/>
  <c r="J91"/>
  <c r="J93"/>
  <c r="O93" s="1"/>
  <c r="J95"/>
  <c r="J97"/>
  <c r="O97" s="1"/>
  <c r="J99"/>
  <c r="J101"/>
  <c r="O101" s="1"/>
  <c r="J103"/>
  <c r="J105"/>
  <c r="O105" s="1"/>
  <c r="J107"/>
  <c r="J109"/>
  <c r="J111"/>
  <c r="J113"/>
  <c r="J115"/>
  <c r="J117"/>
  <c r="J119"/>
  <c r="J121"/>
  <c r="J123"/>
  <c r="J125"/>
  <c r="O125" s="1"/>
  <c r="J127"/>
  <c r="J129"/>
  <c r="O129" s="1"/>
  <c r="J131"/>
  <c r="J133"/>
  <c r="O133" s="1"/>
  <c r="J135"/>
  <c r="J137"/>
  <c r="O137" s="1"/>
  <c r="J139"/>
  <c r="J141"/>
  <c r="J143"/>
  <c r="J145"/>
  <c r="J147"/>
  <c r="J149"/>
  <c r="J151"/>
  <c r="J153"/>
  <c r="J155"/>
  <c r="J157"/>
  <c r="O157" s="1"/>
  <c r="J159"/>
  <c r="J161"/>
  <c r="O161" s="1"/>
  <c r="J163"/>
  <c r="J165"/>
  <c r="O165" s="1"/>
  <c r="J167"/>
  <c r="J169"/>
  <c r="O169" s="1"/>
  <c r="J171"/>
  <c r="J173"/>
  <c r="O173" s="1"/>
  <c r="J175"/>
  <c r="J177"/>
  <c r="O177" s="1"/>
  <c r="J179"/>
  <c r="J181"/>
  <c r="O181" s="1"/>
  <c r="J183"/>
  <c r="J185"/>
  <c r="O185" s="1"/>
  <c r="J187"/>
  <c r="J189"/>
  <c r="O189" s="1"/>
  <c r="J191"/>
  <c r="J193"/>
  <c r="O193" s="1"/>
  <c r="J195"/>
  <c r="J197"/>
  <c r="O197" s="1"/>
  <c r="J199"/>
  <c r="J201"/>
  <c r="O201" s="1"/>
  <c r="J203"/>
  <c r="J205"/>
  <c r="O205" s="1"/>
  <c r="J207"/>
  <c r="J209"/>
  <c r="O209" s="1"/>
  <c r="J211"/>
  <c r="J213"/>
  <c r="O213" s="1"/>
  <c r="J215"/>
  <c r="J217"/>
  <c r="O217" s="1"/>
  <c r="J219"/>
  <c r="J221"/>
  <c r="O221" s="1"/>
  <c r="J223"/>
  <c r="J225"/>
  <c r="O225" s="1"/>
  <c r="J227"/>
  <c r="J229"/>
  <c r="O229" s="1"/>
  <c r="J231"/>
  <c r="J233"/>
  <c r="O233" s="1"/>
  <c r="J235"/>
  <c r="J237"/>
  <c r="O237" s="1"/>
  <c r="J239"/>
  <c r="J241"/>
  <c r="O241" s="1"/>
  <c r="J243"/>
  <c r="J245"/>
  <c r="O245" s="1"/>
  <c r="J247"/>
  <c r="J249"/>
  <c r="O249" s="1"/>
  <c r="J251"/>
  <c r="J253"/>
  <c r="O253" s="1"/>
  <c r="J255"/>
  <c r="J257"/>
  <c r="O257" s="1"/>
  <c r="J259"/>
  <c r="J261"/>
  <c r="O261" s="1"/>
  <c r="J263"/>
  <c r="J265"/>
  <c r="O265" s="1"/>
  <c r="J267"/>
  <c r="J269"/>
  <c r="O269" s="1"/>
  <c r="J271"/>
  <c r="J273"/>
  <c r="O273" s="1"/>
  <c r="J275"/>
  <c r="J277"/>
  <c r="O277" s="1"/>
  <c r="J279"/>
  <c r="J281"/>
  <c r="O281" s="1"/>
  <c r="J283"/>
  <c r="J285"/>
  <c r="O285" s="1"/>
  <c r="J287"/>
  <c r="J289"/>
  <c r="O289" s="1"/>
  <c r="J291"/>
  <c r="J293"/>
  <c r="O293" s="1"/>
  <c r="J295"/>
  <c r="J297"/>
  <c r="O297" s="1"/>
  <c r="J299"/>
  <c r="J301"/>
  <c r="O301" s="1"/>
  <c r="J303"/>
  <c r="J305"/>
  <c r="O305" s="1"/>
  <c r="J307"/>
  <c r="J309"/>
  <c r="O309" s="1"/>
  <c r="J311"/>
  <c r="J313"/>
  <c r="O313" s="1"/>
  <c r="J315"/>
  <c r="J317"/>
  <c r="O317" s="1"/>
  <c r="J319"/>
  <c r="J321"/>
  <c r="O321" s="1"/>
  <c r="J323"/>
  <c r="J325"/>
  <c r="O325" s="1"/>
  <c r="J327"/>
  <c r="J329"/>
  <c r="O329" s="1"/>
  <c r="J331"/>
  <c r="J333"/>
  <c r="O333" s="1"/>
  <c r="J335"/>
  <c r="J337"/>
  <c r="O337" s="1"/>
  <c r="J339"/>
  <c r="J341"/>
  <c r="O341" s="1"/>
  <c r="J343"/>
  <c r="J345"/>
  <c r="O345" s="1"/>
  <c r="J347"/>
  <c r="J349"/>
  <c r="O349" s="1"/>
  <c r="J351"/>
  <c r="J353"/>
  <c r="O353" s="1"/>
  <c r="J355"/>
  <c r="J357"/>
  <c r="O357" s="1"/>
  <c r="J359"/>
  <c r="J361"/>
  <c r="O361" s="1"/>
  <c r="J363"/>
  <c r="J365"/>
  <c r="O365" s="1"/>
  <c r="J367"/>
  <c r="J369"/>
  <c r="O369" s="1"/>
  <c r="J371"/>
  <c r="J373"/>
  <c r="O373" s="1"/>
  <c r="J375"/>
  <c r="J377"/>
  <c r="O377" s="1"/>
  <c r="J379"/>
  <c r="J381"/>
  <c r="O381" s="1"/>
  <c r="J383"/>
  <c r="J385"/>
  <c r="O385" s="1"/>
  <c r="J387"/>
  <c r="J389"/>
  <c r="O389" s="1"/>
  <c r="J391"/>
  <c r="J393"/>
  <c r="O393" s="1"/>
  <c r="J395"/>
  <c r="J397"/>
  <c r="O397" s="1"/>
  <c r="J399"/>
  <c r="J3"/>
  <c r="N13" i="11"/>
  <c r="N15"/>
  <c r="N16"/>
  <c r="K18"/>
  <c r="Q18"/>
  <c r="C30"/>
  <c r="O35" i="8"/>
  <c r="O38"/>
  <c r="O34"/>
  <c r="O29"/>
  <c r="O25"/>
  <c r="O21"/>
  <c r="O16"/>
  <c r="O12"/>
  <c r="O8"/>
  <c r="O4"/>
  <c r="O28"/>
  <c r="O24"/>
  <c r="O20"/>
  <c r="O17"/>
  <c r="O13"/>
  <c r="O9"/>
  <c r="O5"/>
  <c r="O37"/>
  <c r="O33"/>
  <c r="O36"/>
  <c r="O31"/>
  <c r="O27"/>
  <c r="O23"/>
  <c r="O18"/>
  <c r="O14"/>
  <c r="O10"/>
  <c r="O6"/>
  <c r="O30"/>
  <c r="O26"/>
  <c r="O22"/>
  <c r="O19"/>
  <c r="O15"/>
  <c r="O11"/>
  <c r="O7"/>
  <c r="O3"/>
  <c r="B8" i="11"/>
  <c r="E9" s="1"/>
  <c r="U6"/>
  <c r="K89" i="8"/>
  <c r="K91"/>
  <c r="K93"/>
  <c r="K73"/>
  <c r="K75"/>
  <c r="K77"/>
  <c r="K72"/>
  <c r="K59"/>
  <c r="K61"/>
  <c r="K63"/>
  <c r="K45"/>
  <c r="K47"/>
  <c r="K25"/>
  <c r="K27"/>
  <c r="K29"/>
  <c r="K32"/>
  <c r="K35"/>
  <c r="K37"/>
  <c r="K10"/>
  <c r="K13"/>
  <c r="K15"/>
  <c r="K4"/>
  <c r="K6"/>
  <c r="K8"/>
  <c r="K17"/>
  <c r="K19"/>
  <c r="K21"/>
  <c r="K23"/>
  <c r="K40"/>
  <c r="K42"/>
  <c r="K51"/>
  <c r="K53"/>
  <c r="K55"/>
  <c r="K65"/>
  <c r="K67"/>
  <c r="K69"/>
  <c r="K71"/>
  <c r="K81"/>
  <c r="K83"/>
  <c r="K85"/>
  <c r="K94"/>
  <c r="K88"/>
  <c r="K90"/>
  <c r="K92"/>
  <c r="K87"/>
  <c r="K74"/>
  <c r="K76"/>
  <c r="K78"/>
  <c r="K58"/>
  <c r="K60"/>
  <c r="K62"/>
  <c r="K57"/>
  <c r="K46"/>
  <c r="K44"/>
  <c r="K26"/>
  <c r="K28"/>
  <c r="K31"/>
  <c r="K34"/>
  <c r="K36"/>
  <c r="K24"/>
  <c r="K11"/>
  <c r="K14"/>
  <c r="K12"/>
  <c r="K5"/>
  <c r="K7"/>
  <c r="K9"/>
  <c r="K18"/>
  <c r="K20"/>
  <c r="K22"/>
  <c r="K39"/>
  <c r="K41"/>
  <c r="K50"/>
  <c r="K52"/>
  <c r="K54"/>
  <c r="K56"/>
  <c r="K66"/>
  <c r="K68"/>
  <c r="K70"/>
  <c r="K80"/>
  <c r="K82"/>
  <c r="K84"/>
  <c r="K86"/>
  <c r="K3"/>
  <c r="T399" i="12"/>
  <c r="T398"/>
  <c r="T397"/>
  <c r="T396"/>
  <c r="T395"/>
  <c r="T394"/>
  <c r="T393"/>
  <c r="T392"/>
  <c r="T391"/>
  <c r="T390"/>
  <c r="T389"/>
  <c r="T388"/>
  <c r="T387"/>
  <c r="T386"/>
  <c r="T385"/>
  <c r="T384"/>
  <c r="T383"/>
  <c r="T382"/>
  <c r="T381"/>
  <c r="T380"/>
  <c r="T379"/>
  <c r="T378"/>
  <c r="T377"/>
  <c r="T376"/>
  <c r="T375"/>
  <c r="T374"/>
  <c r="T373"/>
  <c r="T372"/>
  <c r="T371"/>
  <c r="T370"/>
  <c r="T369"/>
  <c r="T368"/>
  <c r="T367"/>
  <c r="T366"/>
  <c r="T365"/>
  <c r="T364"/>
  <c r="T363"/>
  <c r="T362"/>
  <c r="T361"/>
  <c r="T360"/>
  <c r="T359"/>
  <c r="T358"/>
  <c r="T357"/>
  <c r="T356"/>
  <c r="T355"/>
  <c r="T354"/>
  <c r="T353"/>
  <c r="T352"/>
  <c r="T351"/>
  <c r="T350"/>
  <c r="T349"/>
  <c r="T348"/>
  <c r="T347"/>
  <c r="T346"/>
  <c r="T345"/>
  <c r="T344"/>
  <c r="T343"/>
  <c r="T342"/>
  <c r="T341"/>
  <c r="T340"/>
  <c r="T339"/>
  <c r="T338"/>
  <c r="T337"/>
  <c r="T336"/>
  <c r="T335"/>
  <c r="T334"/>
  <c r="T333"/>
  <c r="T332"/>
  <c r="T331"/>
  <c r="T330"/>
  <c r="T329"/>
  <c r="T328"/>
  <c r="T327"/>
  <c r="T326"/>
  <c r="T325"/>
  <c r="T324"/>
  <c r="T323"/>
  <c r="T322"/>
  <c r="T321"/>
  <c r="T320"/>
  <c r="T319"/>
  <c r="T318"/>
  <c r="T317"/>
  <c r="T316"/>
  <c r="T315"/>
  <c r="T314"/>
  <c r="T313"/>
  <c r="T312"/>
  <c r="T311"/>
  <c r="T310"/>
  <c r="T309"/>
  <c r="T308"/>
  <c r="T307"/>
  <c r="T306"/>
  <c r="T305"/>
  <c r="T267"/>
  <c r="T266"/>
  <c r="T265"/>
  <c r="T264"/>
  <c r="T263"/>
  <c r="T262"/>
  <c r="T261"/>
  <c r="T260"/>
  <c r="T259"/>
  <c r="T258"/>
  <c r="T257"/>
  <c r="T256"/>
  <c r="T255"/>
  <c r="T254"/>
  <c r="T253"/>
  <c r="T252"/>
  <c r="T251"/>
  <c r="T250"/>
  <c r="T249"/>
  <c r="T248"/>
  <c r="T247"/>
  <c r="T246"/>
  <c r="T245"/>
  <c r="T244"/>
  <c r="T243"/>
  <c r="T242"/>
  <c r="T241"/>
  <c r="T240"/>
  <c r="T239"/>
  <c r="T238"/>
  <c r="T237"/>
  <c r="T236"/>
  <c r="T235"/>
  <c r="T234"/>
  <c r="T233"/>
  <c r="T232"/>
  <c r="T231"/>
  <c r="T230"/>
  <c r="T229"/>
  <c r="T228"/>
  <c r="T227"/>
  <c r="T226"/>
  <c r="T225"/>
  <c r="T224"/>
  <c r="T223"/>
  <c r="T222"/>
  <c r="T304"/>
  <c r="T303"/>
  <c r="T302"/>
  <c r="T301"/>
  <c r="T300"/>
  <c r="T299"/>
  <c r="T298"/>
  <c r="T297"/>
  <c r="T296"/>
  <c r="T295"/>
  <c r="T294"/>
  <c r="T293"/>
  <c r="T292"/>
  <c r="T291"/>
  <c r="T290"/>
  <c r="T289"/>
  <c r="T288"/>
  <c r="T287"/>
  <c r="T286"/>
  <c r="T285"/>
  <c r="T284"/>
  <c r="T283"/>
  <c r="T282"/>
  <c r="T281"/>
  <c r="T280"/>
  <c r="T279"/>
  <c r="T278"/>
  <c r="T277"/>
  <c r="T276"/>
  <c r="T275"/>
  <c r="T274"/>
  <c r="T273"/>
  <c r="T272"/>
  <c r="T271"/>
  <c r="T270"/>
  <c r="T269"/>
  <c r="T215"/>
  <c r="T214"/>
  <c r="T213"/>
  <c r="T212"/>
  <c r="T211"/>
  <c r="T210"/>
  <c r="T209"/>
  <c r="T208"/>
  <c r="T207"/>
  <c r="T206"/>
  <c r="T205"/>
  <c r="T204"/>
  <c r="T203"/>
  <c r="T202"/>
  <c r="T201"/>
  <c r="T200"/>
  <c r="T199"/>
  <c r="T198"/>
  <c r="T197"/>
  <c r="T196"/>
  <c r="T195"/>
  <c r="T194"/>
  <c r="T193"/>
  <c r="T192"/>
  <c r="T191"/>
  <c r="T190"/>
  <c r="T189"/>
  <c r="T188"/>
  <c r="T187"/>
  <c r="T186"/>
  <c r="T185"/>
  <c r="T184"/>
  <c r="T183"/>
  <c r="T182"/>
  <c r="T181"/>
  <c r="T180"/>
  <c r="T179"/>
  <c r="T178"/>
  <c r="T177"/>
  <c r="T176"/>
  <c r="T175"/>
  <c r="T174"/>
  <c r="T173"/>
  <c r="T172"/>
  <c r="T171"/>
  <c r="T170"/>
  <c r="T169"/>
  <c r="T168"/>
  <c r="T167"/>
  <c r="T166"/>
  <c r="T165"/>
  <c r="T164"/>
  <c r="T163"/>
  <c r="T162"/>
  <c r="T161"/>
  <c r="T160"/>
  <c r="T159"/>
  <c r="T158"/>
  <c r="T157"/>
  <c r="T156"/>
  <c r="T155"/>
  <c r="T154"/>
  <c r="T153"/>
  <c r="T152"/>
  <c r="T151"/>
  <c r="T150"/>
  <c r="T149"/>
  <c r="T148"/>
  <c r="T147"/>
  <c r="T146"/>
  <c r="T145"/>
  <c r="T144"/>
  <c r="T143"/>
  <c r="T142"/>
  <c r="T141"/>
  <c r="T140"/>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221"/>
  <c r="T220"/>
  <c r="T219"/>
  <c r="T218"/>
  <c r="T217"/>
  <c r="T216"/>
  <c r="T46"/>
  <c r="T45"/>
  <c r="T44"/>
  <c r="T43"/>
  <c r="T42"/>
  <c r="T41"/>
  <c r="T40"/>
  <c r="T39"/>
  <c r="T38"/>
  <c r="T37"/>
  <c r="T36"/>
  <c r="T35"/>
  <c r="T34"/>
  <c r="T33"/>
  <c r="T32"/>
  <c r="T31"/>
  <c r="T30"/>
  <c r="T29"/>
  <c r="T28"/>
  <c r="T27"/>
  <c r="T26"/>
  <c r="T25"/>
  <c r="T24"/>
  <c r="T23"/>
  <c r="T22"/>
  <c r="T21"/>
  <c r="T65"/>
  <c r="T64"/>
  <c r="T63"/>
  <c r="T62"/>
  <c r="T61"/>
  <c r="T60"/>
  <c r="T59"/>
  <c r="T58"/>
  <c r="T57"/>
  <c r="T56"/>
  <c r="T55"/>
  <c r="T54"/>
  <c r="T53"/>
  <c r="T52"/>
  <c r="T51"/>
  <c r="T50"/>
  <c r="T49"/>
  <c r="T48"/>
  <c r="T47"/>
  <c r="T20"/>
  <c r="T19"/>
  <c r="T18"/>
  <c r="T17"/>
  <c r="T16"/>
  <c r="T15"/>
  <c r="T14"/>
  <c r="T13"/>
  <c r="T12"/>
  <c r="T11"/>
  <c r="T10"/>
  <c r="T9"/>
  <c r="T8"/>
  <c r="T7"/>
  <c r="T6"/>
  <c r="T5"/>
  <c r="T4"/>
  <c r="T3"/>
  <c r="N14" i="11"/>
  <c r="K15"/>
  <c r="Q15"/>
  <c r="N17"/>
  <c r="K19"/>
  <c r="N19"/>
  <c r="Q19"/>
  <c r="N18"/>
  <c r="R20"/>
  <c r="K17"/>
  <c r="Q17"/>
  <c r="K16"/>
  <c r="Q16"/>
  <c r="K14"/>
  <c r="Q14"/>
  <c r="K13"/>
  <c r="Q13"/>
  <c r="U399" i="12"/>
  <c r="U398"/>
  <c r="U397"/>
  <c r="U396"/>
  <c r="U395"/>
  <c r="U394"/>
  <c r="U393"/>
  <c r="U392"/>
  <c r="U391"/>
  <c r="U390"/>
  <c r="U389"/>
  <c r="U388"/>
  <c r="U387"/>
  <c r="U386"/>
  <c r="U385"/>
  <c r="U352"/>
  <c r="U351"/>
  <c r="U350"/>
  <c r="U349"/>
  <c r="U348"/>
  <c r="U347"/>
  <c r="U346"/>
  <c r="U345"/>
  <c r="U344"/>
  <c r="U343"/>
  <c r="U342"/>
  <c r="U341"/>
  <c r="U340"/>
  <c r="U339"/>
  <c r="U338"/>
  <c r="U337"/>
  <c r="U384"/>
  <c r="U383"/>
  <c r="U382"/>
  <c r="U381"/>
  <c r="U380"/>
  <c r="U379"/>
  <c r="U378"/>
  <c r="U377"/>
  <c r="U376"/>
  <c r="U375"/>
  <c r="U374"/>
  <c r="U373"/>
  <c r="U372"/>
  <c r="U371"/>
  <c r="U370"/>
  <c r="U369"/>
  <c r="U368"/>
  <c r="U367"/>
  <c r="U366"/>
  <c r="U365"/>
  <c r="U364"/>
  <c r="U363"/>
  <c r="U362"/>
  <c r="U361"/>
  <c r="U360"/>
  <c r="U359"/>
  <c r="U358"/>
  <c r="U357"/>
  <c r="U356"/>
  <c r="U355"/>
  <c r="U354"/>
  <c r="U353"/>
  <c r="U336"/>
  <c r="U335"/>
  <c r="U334"/>
  <c r="U333"/>
  <c r="U332"/>
  <c r="U331"/>
  <c r="U330"/>
  <c r="U329"/>
  <c r="U328"/>
  <c r="U320"/>
  <c r="U319"/>
  <c r="U318"/>
  <c r="U317"/>
  <c r="U316"/>
  <c r="U315"/>
  <c r="U314"/>
  <c r="U313"/>
  <c r="U312"/>
  <c r="U311"/>
  <c r="U310"/>
  <c r="U309"/>
  <c r="U308"/>
  <c r="U307"/>
  <c r="U306"/>
  <c r="U305"/>
  <c r="U288"/>
  <c r="U287"/>
  <c r="U286"/>
  <c r="U285"/>
  <c r="U284"/>
  <c r="U283"/>
  <c r="U282"/>
  <c r="U281"/>
  <c r="U280"/>
  <c r="U279"/>
  <c r="U278"/>
  <c r="U277"/>
  <c r="U276"/>
  <c r="U275"/>
  <c r="U274"/>
  <c r="U273"/>
  <c r="U267"/>
  <c r="U266"/>
  <c r="U265"/>
  <c r="U264"/>
  <c r="U263"/>
  <c r="U262"/>
  <c r="U261"/>
  <c r="U260"/>
  <c r="U259"/>
  <c r="U258"/>
  <c r="U257"/>
  <c r="U327"/>
  <c r="U326"/>
  <c r="U325"/>
  <c r="U324"/>
  <c r="U323"/>
  <c r="U322"/>
  <c r="U321"/>
  <c r="U304"/>
  <c r="U303"/>
  <c r="U302"/>
  <c r="U301"/>
  <c r="U300"/>
  <c r="U299"/>
  <c r="U298"/>
  <c r="U297"/>
  <c r="U296"/>
  <c r="U295"/>
  <c r="U294"/>
  <c r="U293"/>
  <c r="U292"/>
  <c r="U291"/>
  <c r="U290"/>
  <c r="U289"/>
  <c r="U272"/>
  <c r="U271"/>
  <c r="U270"/>
  <c r="U269"/>
  <c r="U268"/>
  <c r="T268" s="1"/>
  <c r="U256"/>
  <c r="U255"/>
  <c r="U254"/>
  <c r="U253"/>
  <c r="U252"/>
  <c r="U251"/>
  <c r="U250"/>
  <c r="U249"/>
  <c r="U248"/>
  <c r="U231"/>
  <c r="U230"/>
  <c r="U229"/>
  <c r="U228"/>
  <c r="U227"/>
  <c r="U226"/>
  <c r="U225"/>
  <c r="U224"/>
  <c r="U223"/>
  <c r="U222"/>
  <c r="U221"/>
  <c r="U220"/>
  <c r="U219"/>
  <c r="U218"/>
  <c r="U217"/>
  <c r="U216"/>
  <c r="U199"/>
  <c r="U198"/>
  <c r="U197"/>
  <c r="U196"/>
  <c r="U195"/>
  <c r="U194"/>
  <c r="U193"/>
  <c r="U192"/>
  <c r="U191"/>
  <c r="U190"/>
  <c r="U189"/>
  <c r="U188"/>
  <c r="U187"/>
  <c r="U186"/>
  <c r="U185"/>
  <c r="U184"/>
  <c r="U155"/>
  <c r="U154"/>
  <c r="U153"/>
  <c r="U152"/>
  <c r="U151"/>
  <c r="U150"/>
  <c r="U149"/>
  <c r="U148"/>
  <c r="U147"/>
  <c r="U146"/>
  <c r="U145"/>
  <c r="U144"/>
  <c r="U143"/>
  <c r="U142"/>
  <c r="U141"/>
  <c r="U140"/>
  <c r="U123"/>
  <c r="U122"/>
  <c r="U121"/>
  <c r="U120"/>
  <c r="U119"/>
  <c r="U118"/>
  <c r="U117"/>
  <c r="U116"/>
  <c r="U115"/>
  <c r="U114"/>
  <c r="U113"/>
  <c r="U112"/>
  <c r="U111"/>
  <c r="U247"/>
  <c r="U246"/>
  <c r="U245"/>
  <c r="U244"/>
  <c r="U243"/>
  <c r="U242"/>
  <c r="U241"/>
  <c r="U240"/>
  <c r="U239"/>
  <c r="U238"/>
  <c r="U237"/>
  <c r="U236"/>
  <c r="U235"/>
  <c r="U234"/>
  <c r="U233"/>
  <c r="U232"/>
  <c r="U215"/>
  <c r="U214"/>
  <c r="U213"/>
  <c r="U212"/>
  <c r="U211"/>
  <c r="U210"/>
  <c r="U209"/>
  <c r="U208"/>
  <c r="U207"/>
  <c r="U206"/>
  <c r="U205"/>
  <c r="U204"/>
  <c r="U203"/>
  <c r="U202"/>
  <c r="U201"/>
  <c r="U200"/>
  <c r="U183"/>
  <c r="U182"/>
  <c r="U181"/>
  <c r="U180"/>
  <c r="U179"/>
  <c r="U178"/>
  <c r="U177"/>
  <c r="U176"/>
  <c r="U175"/>
  <c r="U174"/>
  <c r="U173"/>
  <c r="U172"/>
  <c r="U171"/>
  <c r="U170"/>
  <c r="U169"/>
  <c r="U168"/>
  <c r="U167"/>
  <c r="U166"/>
  <c r="U165"/>
  <c r="U164"/>
  <c r="U163"/>
  <c r="U162"/>
  <c r="U161"/>
  <c r="U160"/>
  <c r="U159"/>
  <c r="U158"/>
  <c r="U157"/>
  <c r="U156"/>
  <c r="U139"/>
  <c r="U138"/>
  <c r="U137"/>
  <c r="U136"/>
  <c r="U135"/>
  <c r="U134"/>
  <c r="U133"/>
  <c r="U132"/>
  <c r="U131"/>
  <c r="U130"/>
  <c r="U129"/>
  <c r="U128"/>
  <c r="U127"/>
  <c r="U126"/>
  <c r="U125"/>
  <c r="U124"/>
  <c r="U110"/>
  <c r="U109"/>
  <c r="U108"/>
  <c r="U91"/>
  <c r="U90"/>
  <c r="U89"/>
  <c r="U88"/>
  <c r="U87"/>
  <c r="U86"/>
  <c r="U85"/>
  <c r="U84"/>
  <c r="U83"/>
  <c r="U82"/>
  <c r="U81"/>
  <c r="U80"/>
  <c r="U79"/>
  <c r="U78"/>
  <c r="U77"/>
  <c r="U76"/>
  <c r="U75"/>
  <c r="U74"/>
  <c r="U73"/>
  <c r="U72"/>
  <c r="U71"/>
  <c r="U70"/>
  <c r="U69"/>
  <c r="U68"/>
  <c r="U67"/>
  <c r="U66"/>
  <c r="U59"/>
  <c r="U58"/>
  <c r="U57"/>
  <c r="U56"/>
  <c r="U55"/>
  <c r="U54"/>
  <c r="U53"/>
  <c r="U52"/>
  <c r="U51"/>
  <c r="U50"/>
  <c r="U49"/>
  <c r="U48"/>
  <c r="U31"/>
  <c r="U30"/>
  <c r="U29"/>
  <c r="U28"/>
  <c r="U27"/>
  <c r="U26"/>
  <c r="U25"/>
  <c r="U24"/>
  <c r="U23"/>
  <c r="U22"/>
  <c r="U21"/>
  <c r="U107"/>
  <c r="U106"/>
  <c r="U105"/>
  <c r="U104"/>
  <c r="U103"/>
  <c r="U102"/>
  <c r="U101"/>
  <c r="U100"/>
  <c r="U99"/>
  <c r="U98"/>
  <c r="U97"/>
  <c r="U96"/>
  <c r="U95"/>
  <c r="U94"/>
  <c r="U93"/>
  <c r="U92"/>
  <c r="U65"/>
  <c r="U64"/>
  <c r="U63"/>
  <c r="U62"/>
  <c r="U61"/>
  <c r="U60"/>
  <c r="U47"/>
  <c r="U46"/>
  <c r="U45"/>
  <c r="U44"/>
  <c r="U43"/>
  <c r="U42"/>
  <c r="U41"/>
  <c r="U40"/>
  <c r="U39"/>
  <c r="U38"/>
  <c r="U37"/>
  <c r="U36"/>
  <c r="U35"/>
  <c r="U34"/>
  <c r="U33"/>
  <c r="U32"/>
  <c r="U6"/>
  <c r="U5"/>
  <c r="U20"/>
  <c r="U19"/>
  <c r="U18"/>
  <c r="U17"/>
  <c r="U16"/>
  <c r="U15"/>
  <c r="U14"/>
  <c r="U13"/>
  <c r="U12"/>
  <c r="U11"/>
  <c r="U10"/>
  <c r="U9"/>
  <c r="U8"/>
  <c r="U7"/>
  <c r="U4"/>
  <c r="U3"/>
  <c r="B9" i="11"/>
  <c r="R22" s="1"/>
  <c r="J9" s="1"/>
  <c r="I29"/>
  <c r="O396" i="12"/>
  <c r="O392"/>
  <c r="O388"/>
  <c r="O383"/>
  <c r="O379"/>
  <c r="O375"/>
  <c r="O371"/>
  <c r="O367"/>
  <c r="O363"/>
  <c r="O359"/>
  <c r="O355"/>
  <c r="O352"/>
  <c r="O348"/>
  <c r="O344"/>
  <c r="O340"/>
  <c r="O335"/>
  <c r="O331"/>
  <c r="O327"/>
  <c r="O323"/>
  <c r="O320"/>
  <c r="O316"/>
  <c r="O399"/>
  <c r="O395"/>
  <c r="O391"/>
  <c r="O387"/>
  <c r="O384"/>
  <c r="O380"/>
  <c r="O376"/>
  <c r="O372"/>
  <c r="O368"/>
  <c r="O364"/>
  <c r="O360"/>
  <c r="O356"/>
  <c r="O351"/>
  <c r="O347"/>
  <c r="O343"/>
  <c r="O339"/>
  <c r="O336"/>
  <c r="O332"/>
  <c r="O328"/>
  <c r="O324"/>
  <c r="O319"/>
  <c r="O315"/>
  <c r="O311"/>
  <c r="O307"/>
  <c r="O304"/>
  <c r="O300"/>
  <c r="O296"/>
  <c r="O292"/>
  <c r="O287"/>
  <c r="O283"/>
  <c r="O279"/>
  <c r="O275"/>
  <c r="O272"/>
  <c r="O267"/>
  <c r="O263"/>
  <c r="O259"/>
  <c r="O255"/>
  <c r="O251"/>
  <c r="O244"/>
  <c r="O240"/>
  <c r="O236"/>
  <c r="O232"/>
  <c r="O231"/>
  <c r="O312"/>
  <c r="O308"/>
  <c r="O303"/>
  <c r="O299"/>
  <c r="O295"/>
  <c r="O291"/>
  <c r="O288"/>
  <c r="O284"/>
  <c r="O280"/>
  <c r="O276"/>
  <c r="O271"/>
  <c r="O268"/>
  <c r="O264"/>
  <c r="O260"/>
  <c r="O256"/>
  <c r="O252"/>
  <c r="O248"/>
  <c r="O247"/>
  <c r="O243"/>
  <c r="O239"/>
  <c r="O235"/>
  <c r="O227"/>
  <c r="O223"/>
  <c r="O219"/>
  <c r="O212"/>
  <c r="O208"/>
  <c r="O204"/>
  <c r="O200"/>
  <c r="O199"/>
  <c r="O195"/>
  <c r="O191"/>
  <c r="O187"/>
  <c r="O180"/>
  <c r="O176"/>
  <c r="O172"/>
  <c r="O168"/>
  <c r="O164"/>
  <c r="O160"/>
  <c r="O156"/>
  <c r="O155"/>
  <c r="O153"/>
  <c r="O151"/>
  <c r="O149"/>
  <c r="O147"/>
  <c r="O145"/>
  <c r="O143"/>
  <c r="O141"/>
  <c r="O136"/>
  <c r="O132"/>
  <c r="O128"/>
  <c r="O124"/>
  <c r="O123"/>
  <c r="O121"/>
  <c r="O119"/>
  <c r="O117"/>
  <c r="O115"/>
  <c r="O113"/>
  <c r="O111"/>
  <c r="O109"/>
  <c r="O104"/>
  <c r="O100"/>
  <c r="O96"/>
  <c r="O92"/>
  <c r="O91"/>
  <c r="O89"/>
  <c r="O87"/>
  <c r="O85"/>
  <c r="O83"/>
  <c r="O81"/>
  <c r="O79"/>
  <c r="O77"/>
  <c r="O75"/>
  <c r="O73"/>
  <c r="O71"/>
  <c r="O69"/>
  <c r="O67"/>
  <c r="O64"/>
  <c r="O60"/>
  <c r="O228"/>
  <c r="O226"/>
  <c r="O224"/>
  <c r="O222"/>
  <c r="O220"/>
  <c r="O218"/>
  <c r="O216"/>
  <c r="O215"/>
  <c r="O211"/>
  <c r="O207"/>
  <c r="O203"/>
  <c r="O198"/>
  <c r="O196"/>
  <c r="O194"/>
  <c r="O192"/>
  <c r="O190"/>
  <c r="O188"/>
  <c r="O186"/>
  <c r="O184"/>
  <c r="O183"/>
  <c r="O179"/>
  <c r="O175"/>
  <c r="O171"/>
  <c r="O167"/>
  <c r="O163"/>
  <c r="O159"/>
  <c r="O154"/>
  <c r="O152"/>
  <c r="O150"/>
  <c r="O148"/>
  <c r="O146"/>
  <c r="O144"/>
  <c r="O142"/>
  <c r="O140"/>
  <c r="O139"/>
  <c r="O135"/>
  <c r="O131"/>
  <c r="O127"/>
  <c r="O122"/>
  <c r="O120"/>
  <c r="O118"/>
  <c r="O116"/>
  <c r="O114"/>
  <c r="O112"/>
  <c r="O110"/>
  <c r="O108"/>
  <c r="O107"/>
  <c r="O103"/>
  <c r="O99"/>
  <c r="O95"/>
  <c r="O90"/>
  <c r="O88"/>
  <c r="O86"/>
  <c r="O84"/>
  <c r="O82"/>
  <c r="O80"/>
  <c r="O78"/>
  <c r="O76"/>
  <c r="O74"/>
  <c r="O72"/>
  <c r="O70"/>
  <c r="O68"/>
  <c r="O66"/>
  <c r="O63"/>
  <c r="O59"/>
  <c r="O55"/>
  <c r="O51"/>
  <c r="O46"/>
  <c r="O44"/>
  <c r="O42"/>
  <c r="O40"/>
  <c r="O38"/>
  <c r="O36"/>
  <c r="O34"/>
  <c r="O32"/>
  <c r="O31"/>
  <c r="O27"/>
  <c r="O23"/>
  <c r="O58"/>
  <c r="O56"/>
  <c r="O54"/>
  <c r="O52"/>
  <c r="O50"/>
  <c r="O48"/>
  <c r="O47"/>
  <c r="O43"/>
  <c r="O39"/>
  <c r="O35"/>
  <c r="O30"/>
  <c r="O28"/>
  <c r="O26"/>
  <c r="O24"/>
  <c r="O22"/>
  <c r="O20"/>
  <c r="O18"/>
  <c r="O16"/>
  <c r="O14"/>
  <c r="O12"/>
  <c r="O10"/>
  <c r="O8"/>
  <c r="O5"/>
  <c r="O4"/>
  <c r="O19"/>
  <c r="O15"/>
  <c r="O11"/>
  <c r="O7"/>
  <c r="K20" i="11" l="1"/>
  <c r="N20"/>
  <c r="C7"/>
  <c r="N9"/>
  <c r="M9" s="1"/>
  <c r="G399" i="12"/>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0"/>
  <c r="G348"/>
  <c r="G346"/>
  <c r="G344"/>
  <c r="G342"/>
  <c r="G340"/>
  <c r="G338"/>
  <c r="G336"/>
  <c r="G334"/>
  <c r="G332"/>
  <c r="G330"/>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351"/>
  <c r="G349"/>
  <c r="G347"/>
  <c r="G345"/>
  <c r="G343"/>
  <c r="G341"/>
  <c r="G339"/>
  <c r="G337"/>
  <c r="G335"/>
  <c r="G333"/>
  <c r="G331"/>
  <c r="G329"/>
  <c r="G328"/>
  <c r="G327"/>
  <c r="G326"/>
  <c r="G325"/>
  <c r="G324"/>
  <c r="G323"/>
  <c r="G322"/>
  <c r="G321"/>
  <c r="G320"/>
  <c r="G319"/>
  <c r="G318"/>
  <c r="G317"/>
  <c r="G316"/>
  <c r="G315"/>
  <c r="G314"/>
  <c r="G313"/>
  <c r="G312"/>
  <c r="G311"/>
  <c r="G310"/>
  <c r="G309"/>
  <c r="G308"/>
  <c r="G307"/>
  <c r="G306"/>
  <c r="G305"/>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2"/>
  <c r="G230"/>
  <c r="G228"/>
  <c r="G226"/>
  <c r="G224"/>
  <c r="G222"/>
  <c r="G221"/>
  <c r="G220"/>
  <c r="G219"/>
  <c r="G218"/>
  <c r="G217"/>
  <c r="G216"/>
  <c r="G65"/>
  <c r="G64"/>
  <c r="G63"/>
  <c r="G62"/>
  <c r="G61"/>
  <c r="G60"/>
  <c r="G59"/>
  <c r="G58"/>
  <c r="G57"/>
  <c r="G56"/>
  <c r="G55"/>
  <c r="G54"/>
  <c r="G53"/>
  <c r="G52"/>
  <c r="G51"/>
  <c r="G50"/>
  <c r="G49"/>
  <c r="G48"/>
  <c r="G47"/>
  <c r="G233"/>
  <c r="G231"/>
  <c r="G229"/>
  <c r="G227"/>
  <c r="G225"/>
  <c r="G223"/>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8"/>
  <c r="G76"/>
  <c r="G74"/>
  <c r="G72"/>
  <c r="G70"/>
  <c r="G68"/>
  <c r="G66"/>
  <c r="G28"/>
  <c r="G27"/>
  <c r="G26"/>
  <c r="G25"/>
  <c r="G24"/>
  <c r="G22"/>
  <c r="G21"/>
  <c r="G79"/>
  <c r="G77"/>
  <c r="G75"/>
  <c r="G73"/>
  <c r="G71"/>
  <c r="G69"/>
  <c r="G67"/>
  <c r="G46"/>
  <c r="G45"/>
  <c r="G44"/>
  <c r="G43"/>
  <c r="G42"/>
  <c r="G41"/>
  <c r="G40"/>
  <c r="G39"/>
  <c r="G38"/>
  <c r="G37"/>
  <c r="G36"/>
  <c r="G35"/>
  <c r="G34"/>
  <c r="G33"/>
  <c r="G32"/>
  <c r="G31"/>
  <c r="G30"/>
  <c r="G29"/>
  <c r="G23"/>
  <c r="G6"/>
  <c r="G5"/>
  <c r="G4"/>
  <c r="G20"/>
  <c r="G18"/>
  <c r="G16"/>
  <c r="G14"/>
  <c r="G12"/>
  <c r="G10"/>
  <c r="G8"/>
  <c r="G19"/>
  <c r="G17"/>
  <c r="G15"/>
  <c r="G13"/>
  <c r="G11"/>
  <c r="G9"/>
  <c r="G7"/>
  <c r="G3"/>
  <c r="Q20" i="11"/>
  <c r="W6" s="1"/>
  <c r="W28" s="1"/>
  <c r="C6" s="1"/>
  <c r="F399" i="12"/>
  <c r="F398"/>
  <c r="F397"/>
  <c r="F396"/>
  <c r="F395"/>
  <c r="F394"/>
  <c r="F393"/>
  <c r="F392"/>
  <c r="F391"/>
  <c r="F390"/>
  <c r="F389"/>
  <c r="F388"/>
  <c r="F387"/>
  <c r="F386"/>
  <c r="F385"/>
  <c r="F352"/>
  <c r="F351"/>
  <c r="F350"/>
  <c r="F349"/>
  <c r="F348"/>
  <c r="F347"/>
  <c r="F346"/>
  <c r="F345"/>
  <c r="F344"/>
  <c r="F343"/>
  <c r="F342"/>
  <c r="F341"/>
  <c r="F340"/>
  <c r="F339"/>
  <c r="F338"/>
  <c r="F337"/>
  <c r="F384"/>
  <c r="F383"/>
  <c r="F382"/>
  <c r="F381"/>
  <c r="F380"/>
  <c r="F379"/>
  <c r="F378"/>
  <c r="F377"/>
  <c r="F376"/>
  <c r="F375"/>
  <c r="F374"/>
  <c r="F373"/>
  <c r="F372"/>
  <c r="F371"/>
  <c r="F370"/>
  <c r="F369"/>
  <c r="F368"/>
  <c r="F367"/>
  <c r="F366"/>
  <c r="F365"/>
  <c r="F364"/>
  <c r="F363"/>
  <c r="F362"/>
  <c r="F361"/>
  <c r="F360"/>
  <c r="F359"/>
  <c r="F358"/>
  <c r="F357"/>
  <c r="F356"/>
  <c r="F355"/>
  <c r="F354"/>
  <c r="F353"/>
  <c r="F336"/>
  <c r="F335"/>
  <c r="F334"/>
  <c r="F333"/>
  <c r="F332"/>
  <c r="F331"/>
  <c r="F330"/>
  <c r="F329"/>
  <c r="F328"/>
  <c r="F320"/>
  <c r="F319"/>
  <c r="F318"/>
  <c r="F317"/>
  <c r="F316"/>
  <c r="F315"/>
  <c r="F314"/>
  <c r="F313"/>
  <c r="F312"/>
  <c r="F311"/>
  <c r="F310"/>
  <c r="F309"/>
  <c r="F308"/>
  <c r="F307"/>
  <c r="F306"/>
  <c r="F305"/>
  <c r="F288"/>
  <c r="F287"/>
  <c r="F286"/>
  <c r="F285"/>
  <c r="F284"/>
  <c r="F283"/>
  <c r="F282"/>
  <c r="F281"/>
  <c r="F280"/>
  <c r="F279"/>
  <c r="F278"/>
  <c r="F277"/>
  <c r="F276"/>
  <c r="F275"/>
  <c r="F274"/>
  <c r="F273"/>
  <c r="F268"/>
  <c r="F267"/>
  <c r="F266"/>
  <c r="F265"/>
  <c r="F264"/>
  <c r="F263"/>
  <c r="F262"/>
  <c r="F261"/>
  <c r="F260"/>
  <c r="F259"/>
  <c r="F258"/>
  <c r="F257"/>
  <c r="F327"/>
  <c r="F326"/>
  <c r="F325"/>
  <c r="F324"/>
  <c r="F323"/>
  <c r="F322"/>
  <c r="F321"/>
  <c r="F304"/>
  <c r="F303"/>
  <c r="F302"/>
  <c r="F301"/>
  <c r="F300"/>
  <c r="F299"/>
  <c r="F298"/>
  <c r="F297"/>
  <c r="F296"/>
  <c r="F295"/>
  <c r="F294"/>
  <c r="F293"/>
  <c r="F292"/>
  <c r="F291"/>
  <c r="F290"/>
  <c r="F289"/>
  <c r="F272"/>
  <c r="F271"/>
  <c r="F270"/>
  <c r="F269"/>
  <c r="F255"/>
  <c r="F254"/>
  <c r="F253"/>
  <c r="F252"/>
  <c r="F251"/>
  <c r="F250"/>
  <c r="F249"/>
  <c r="F248"/>
  <c r="F231"/>
  <c r="F230"/>
  <c r="F229"/>
  <c r="F228"/>
  <c r="F227"/>
  <c r="F226"/>
  <c r="F225"/>
  <c r="F224"/>
  <c r="F223"/>
  <c r="F222"/>
  <c r="F221"/>
  <c r="F220"/>
  <c r="F219"/>
  <c r="F218"/>
  <c r="F217"/>
  <c r="F216"/>
  <c r="F199"/>
  <c r="F198"/>
  <c r="F197"/>
  <c r="F196"/>
  <c r="F195"/>
  <c r="F194"/>
  <c r="F193"/>
  <c r="F192"/>
  <c r="F191"/>
  <c r="F190"/>
  <c r="F189"/>
  <c r="F188"/>
  <c r="F187"/>
  <c r="F186"/>
  <c r="F185"/>
  <c r="F184"/>
  <c r="F155"/>
  <c r="F154"/>
  <c r="F153"/>
  <c r="F152"/>
  <c r="F151"/>
  <c r="F150"/>
  <c r="F149"/>
  <c r="F148"/>
  <c r="F147"/>
  <c r="F146"/>
  <c r="F145"/>
  <c r="F144"/>
  <c r="F143"/>
  <c r="F142"/>
  <c r="F141"/>
  <c r="F140"/>
  <c r="F123"/>
  <c r="F122"/>
  <c r="F121"/>
  <c r="F120"/>
  <c r="F119"/>
  <c r="F118"/>
  <c r="F117"/>
  <c r="F116"/>
  <c r="F115"/>
  <c r="F114"/>
  <c r="F113"/>
  <c r="F112"/>
  <c r="F111"/>
  <c r="F256"/>
  <c r="F247"/>
  <c r="F246"/>
  <c r="F245"/>
  <c r="F244"/>
  <c r="F243"/>
  <c r="F242"/>
  <c r="F241"/>
  <c r="F240"/>
  <c r="F239"/>
  <c r="F238"/>
  <c r="F237"/>
  <c r="F236"/>
  <c r="F235"/>
  <c r="F234"/>
  <c r="F233"/>
  <c r="F232"/>
  <c r="F215"/>
  <c r="F214"/>
  <c r="F213"/>
  <c r="F212"/>
  <c r="F211"/>
  <c r="F210"/>
  <c r="F209"/>
  <c r="F208"/>
  <c r="F207"/>
  <c r="F206"/>
  <c r="F205"/>
  <c r="F204"/>
  <c r="F203"/>
  <c r="F202"/>
  <c r="F201"/>
  <c r="F200"/>
  <c r="F183"/>
  <c r="F182"/>
  <c r="F181"/>
  <c r="F180"/>
  <c r="F179"/>
  <c r="F178"/>
  <c r="F177"/>
  <c r="F176"/>
  <c r="F175"/>
  <c r="F174"/>
  <c r="F173"/>
  <c r="F172"/>
  <c r="F171"/>
  <c r="F170"/>
  <c r="F169"/>
  <c r="F168"/>
  <c r="F167"/>
  <c r="F166"/>
  <c r="F165"/>
  <c r="F164"/>
  <c r="F163"/>
  <c r="F162"/>
  <c r="F161"/>
  <c r="F160"/>
  <c r="F159"/>
  <c r="F158"/>
  <c r="F157"/>
  <c r="F156"/>
  <c r="F139"/>
  <c r="F138"/>
  <c r="F137"/>
  <c r="F136"/>
  <c r="F135"/>
  <c r="F134"/>
  <c r="F133"/>
  <c r="F132"/>
  <c r="F131"/>
  <c r="F130"/>
  <c r="F129"/>
  <c r="F128"/>
  <c r="F127"/>
  <c r="F126"/>
  <c r="F125"/>
  <c r="F124"/>
  <c r="F110"/>
  <c r="F109"/>
  <c r="F108"/>
  <c r="F91"/>
  <c r="F90"/>
  <c r="F89"/>
  <c r="F88"/>
  <c r="F87"/>
  <c r="F86"/>
  <c r="F85"/>
  <c r="F84"/>
  <c r="F83"/>
  <c r="F82"/>
  <c r="F81"/>
  <c r="F80"/>
  <c r="F79"/>
  <c r="F78"/>
  <c r="F77"/>
  <c r="F76"/>
  <c r="F75"/>
  <c r="F74"/>
  <c r="F73"/>
  <c r="F72"/>
  <c r="F71"/>
  <c r="F70"/>
  <c r="F69"/>
  <c r="F68"/>
  <c r="F67"/>
  <c r="F66"/>
  <c r="F59"/>
  <c r="F58"/>
  <c r="F57"/>
  <c r="F56"/>
  <c r="F55"/>
  <c r="F54"/>
  <c r="F53"/>
  <c r="F52"/>
  <c r="F51"/>
  <c r="F50"/>
  <c r="F49"/>
  <c r="F48"/>
  <c r="F31"/>
  <c r="F30"/>
  <c r="F29"/>
  <c r="F28"/>
  <c r="F27"/>
  <c r="F26"/>
  <c r="F25"/>
  <c r="F24"/>
  <c r="F23"/>
  <c r="F22"/>
  <c r="F107"/>
  <c r="F106"/>
  <c r="F105"/>
  <c r="F104"/>
  <c r="F103"/>
  <c r="F102"/>
  <c r="F101"/>
  <c r="F100"/>
  <c r="F99"/>
  <c r="F98"/>
  <c r="F97"/>
  <c r="F96"/>
  <c r="F95"/>
  <c r="F94"/>
  <c r="F93"/>
  <c r="F92"/>
  <c r="F65"/>
  <c r="F64"/>
  <c r="F63"/>
  <c r="F62"/>
  <c r="F61"/>
  <c r="F60"/>
  <c r="F47"/>
  <c r="F46"/>
  <c r="F45"/>
  <c r="F44"/>
  <c r="F43"/>
  <c r="F42"/>
  <c r="F41"/>
  <c r="F40"/>
  <c r="F39"/>
  <c r="F38"/>
  <c r="F37"/>
  <c r="F36"/>
  <c r="F35"/>
  <c r="F34"/>
  <c r="F33"/>
  <c r="F32"/>
  <c r="F21"/>
  <c r="F6"/>
  <c r="F5"/>
  <c r="F20"/>
  <c r="F19"/>
  <c r="F18"/>
  <c r="F17"/>
  <c r="F16"/>
  <c r="F15"/>
  <c r="F14"/>
  <c r="F13"/>
  <c r="F12"/>
  <c r="F11"/>
  <c r="F10"/>
  <c r="F9"/>
  <c r="F8"/>
  <c r="F7"/>
  <c r="F4"/>
  <c r="F3"/>
  <c r="Q384"/>
  <c r="S384" s="1"/>
  <c r="Q383"/>
  <c r="S383" s="1"/>
  <c r="Q382"/>
  <c r="S382" s="1"/>
  <c r="Q381"/>
  <c r="S381" s="1"/>
  <c r="Q380"/>
  <c r="S380" s="1"/>
  <c r="Q379"/>
  <c r="S379" s="1"/>
  <c r="Q378"/>
  <c r="S378" s="1"/>
  <c r="Q377"/>
  <c r="S377" s="1"/>
  <c r="Q376"/>
  <c r="S376" s="1"/>
  <c r="Q375"/>
  <c r="S375" s="1"/>
  <c r="Q374"/>
  <c r="S374" s="1"/>
  <c r="Q373"/>
  <c r="S373" s="1"/>
  <c r="Q372"/>
  <c r="S372" s="1"/>
  <c r="Q371"/>
  <c r="S371" s="1"/>
  <c r="Q370"/>
  <c r="S370" s="1"/>
  <c r="Q369"/>
  <c r="S369" s="1"/>
  <c r="Q368"/>
  <c r="S368" s="1"/>
  <c r="Q367"/>
  <c r="S367" s="1"/>
  <c r="Q366"/>
  <c r="S366" s="1"/>
  <c r="Q365"/>
  <c r="S365" s="1"/>
  <c r="Q364"/>
  <c r="S364" s="1"/>
  <c r="Q363"/>
  <c r="S363" s="1"/>
  <c r="Q362"/>
  <c r="S362" s="1"/>
  <c r="Q361"/>
  <c r="S361" s="1"/>
  <c r="Q360"/>
  <c r="S360" s="1"/>
  <c r="Q359"/>
  <c r="S359" s="1"/>
  <c r="Q358"/>
  <c r="S358" s="1"/>
  <c r="Q357"/>
  <c r="S357" s="1"/>
  <c r="Q356"/>
  <c r="S356" s="1"/>
  <c r="Q355"/>
  <c r="S355" s="1"/>
  <c r="Q354"/>
  <c r="S354" s="1"/>
  <c r="Q353"/>
  <c r="S353" s="1"/>
  <c r="Q336"/>
  <c r="S336" s="1"/>
  <c r="Q335"/>
  <c r="S335" s="1"/>
  <c r="Q334"/>
  <c r="S334" s="1"/>
  <c r="Q333"/>
  <c r="S333" s="1"/>
  <c r="Q332"/>
  <c r="S332" s="1"/>
  <c r="Q331"/>
  <c r="S331" s="1"/>
  <c r="Q330"/>
  <c r="S330" s="1"/>
  <c r="Q329"/>
  <c r="S329" s="1"/>
  <c r="Q328"/>
  <c r="S328" s="1"/>
  <c r="Q399"/>
  <c r="S399" s="1"/>
  <c r="Q398"/>
  <c r="S398" s="1"/>
  <c r="Q397"/>
  <c r="S397" s="1"/>
  <c r="Q396"/>
  <c r="S396" s="1"/>
  <c r="Q395"/>
  <c r="S395" s="1"/>
  <c r="Q394"/>
  <c r="S394" s="1"/>
  <c r="Q393"/>
  <c r="S393" s="1"/>
  <c r="Q392"/>
  <c r="S392" s="1"/>
  <c r="Q391"/>
  <c r="S391" s="1"/>
  <c r="Q390"/>
  <c r="S390" s="1"/>
  <c r="Q389"/>
  <c r="S389" s="1"/>
  <c r="Q388"/>
  <c r="S388" s="1"/>
  <c r="Q387"/>
  <c r="S387" s="1"/>
  <c r="Q386"/>
  <c r="S386" s="1"/>
  <c r="Q385"/>
  <c r="S385" s="1"/>
  <c r="Q352"/>
  <c r="S352" s="1"/>
  <c r="Q351"/>
  <c r="S351" s="1"/>
  <c r="Q350"/>
  <c r="S350" s="1"/>
  <c r="Q349"/>
  <c r="S349" s="1"/>
  <c r="Q348"/>
  <c r="S348" s="1"/>
  <c r="Q347"/>
  <c r="S347" s="1"/>
  <c r="Q346"/>
  <c r="S346" s="1"/>
  <c r="Q345"/>
  <c r="S345" s="1"/>
  <c r="Q344"/>
  <c r="S344" s="1"/>
  <c r="Q343"/>
  <c r="S343" s="1"/>
  <c r="Q342"/>
  <c r="S342" s="1"/>
  <c r="Q341"/>
  <c r="S341" s="1"/>
  <c r="Q340"/>
  <c r="S340" s="1"/>
  <c r="Q339"/>
  <c r="S339" s="1"/>
  <c r="Q338"/>
  <c r="S338" s="1"/>
  <c r="Q337"/>
  <c r="S337" s="1"/>
  <c r="Q327"/>
  <c r="S327" s="1"/>
  <c r="Q326"/>
  <c r="S326" s="1"/>
  <c r="Q325"/>
  <c r="S325" s="1"/>
  <c r="Q324"/>
  <c r="S324" s="1"/>
  <c r="Q323"/>
  <c r="S323" s="1"/>
  <c r="Q322"/>
  <c r="S322" s="1"/>
  <c r="Q321"/>
  <c r="S321" s="1"/>
  <c r="Q304"/>
  <c r="S304" s="1"/>
  <c r="Q303"/>
  <c r="S303" s="1"/>
  <c r="Q302"/>
  <c r="S302" s="1"/>
  <c r="Q301"/>
  <c r="S301" s="1"/>
  <c r="Q300"/>
  <c r="S300" s="1"/>
  <c r="Q299"/>
  <c r="S299" s="1"/>
  <c r="Q298"/>
  <c r="S298" s="1"/>
  <c r="Q297"/>
  <c r="S297" s="1"/>
  <c r="Q296"/>
  <c r="S296" s="1"/>
  <c r="Q295"/>
  <c r="S295" s="1"/>
  <c r="Q294"/>
  <c r="S294" s="1"/>
  <c r="Q293"/>
  <c r="S293" s="1"/>
  <c r="Q292"/>
  <c r="S292" s="1"/>
  <c r="Q291"/>
  <c r="S291" s="1"/>
  <c r="Q290"/>
  <c r="S290" s="1"/>
  <c r="Q289"/>
  <c r="S289" s="1"/>
  <c r="Q272"/>
  <c r="S272" s="1"/>
  <c r="Q271"/>
  <c r="S271" s="1"/>
  <c r="Q270"/>
  <c r="S270" s="1"/>
  <c r="Q269"/>
  <c r="S269" s="1"/>
  <c r="Q320"/>
  <c r="S320" s="1"/>
  <c r="Q319"/>
  <c r="S319" s="1"/>
  <c r="Q318"/>
  <c r="S318" s="1"/>
  <c r="Q317"/>
  <c r="S317" s="1"/>
  <c r="Q316"/>
  <c r="S316" s="1"/>
  <c r="Q315"/>
  <c r="S315" s="1"/>
  <c r="Q314"/>
  <c r="S314" s="1"/>
  <c r="Q313"/>
  <c r="S313" s="1"/>
  <c r="Q312"/>
  <c r="S312" s="1"/>
  <c r="Q311"/>
  <c r="S311" s="1"/>
  <c r="Q310"/>
  <c r="S310" s="1"/>
  <c r="Q309"/>
  <c r="S309" s="1"/>
  <c r="Q308"/>
  <c r="S308" s="1"/>
  <c r="Q307"/>
  <c r="S307" s="1"/>
  <c r="Q306"/>
  <c r="S306" s="1"/>
  <c r="Q305"/>
  <c r="S305" s="1"/>
  <c r="Q288"/>
  <c r="S288" s="1"/>
  <c r="Q287"/>
  <c r="S287" s="1"/>
  <c r="Q286"/>
  <c r="S286" s="1"/>
  <c r="Q285"/>
  <c r="S285" s="1"/>
  <c r="Q284"/>
  <c r="S284" s="1"/>
  <c r="Q283"/>
  <c r="S283" s="1"/>
  <c r="Q282"/>
  <c r="S282" s="1"/>
  <c r="Q281"/>
  <c r="S281" s="1"/>
  <c r="Q280"/>
  <c r="S280" s="1"/>
  <c r="Q279"/>
  <c r="S279" s="1"/>
  <c r="Q278"/>
  <c r="S278" s="1"/>
  <c r="Q277"/>
  <c r="S277" s="1"/>
  <c r="Q276"/>
  <c r="S276" s="1"/>
  <c r="Q275"/>
  <c r="S275" s="1"/>
  <c r="Q274"/>
  <c r="S274" s="1"/>
  <c r="Q273"/>
  <c r="S273" s="1"/>
  <c r="Q268"/>
  <c r="S268" s="1"/>
  <c r="Q267"/>
  <c r="S267" s="1"/>
  <c r="Q266"/>
  <c r="S266" s="1"/>
  <c r="Q265"/>
  <c r="S265" s="1"/>
  <c r="Q264"/>
  <c r="S264" s="1"/>
  <c r="Q263"/>
  <c r="S263" s="1"/>
  <c r="Q262"/>
  <c r="S262" s="1"/>
  <c r="Q261"/>
  <c r="S261" s="1"/>
  <c r="Q260"/>
  <c r="S260" s="1"/>
  <c r="Q259"/>
  <c r="S259" s="1"/>
  <c r="Q258"/>
  <c r="S258" s="1"/>
  <c r="Q257"/>
  <c r="S257" s="1"/>
  <c r="Q256"/>
  <c r="S256" s="1"/>
  <c r="Q247"/>
  <c r="S247" s="1"/>
  <c r="Q246"/>
  <c r="S246" s="1"/>
  <c r="Q245"/>
  <c r="S245" s="1"/>
  <c r="Q244"/>
  <c r="S244" s="1"/>
  <c r="Q243"/>
  <c r="S243" s="1"/>
  <c r="Q242"/>
  <c r="S242" s="1"/>
  <c r="Q241"/>
  <c r="S241" s="1"/>
  <c r="Q240"/>
  <c r="S240" s="1"/>
  <c r="Q239"/>
  <c r="S239" s="1"/>
  <c r="Q238"/>
  <c r="S238" s="1"/>
  <c r="Q237"/>
  <c r="S237" s="1"/>
  <c r="Q236"/>
  <c r="S236" s="1"/>
  <c r="Q235"/>
  <c r="S235" s="1"/>
  <c r="Q234"/>
  <c r="S234" s="1"/>
  <c r="Q233"/>
  <c r="S233" s="1"/>
  <c r="Q232"/>
  <c r="S232" s="1"/>
  <c r="Q215"/>
  <c r="S215" s="1"/>
  <c r="Q214"/>
  <c r="S214" s="1"/>
  <c r="Q213"/>
  <c r="S213" s="1"/>
  <c r="Q212"/>
  <c r="S212" s="1"/>
  <c r="Q211"/>
  <c r="S211" s="1"/>
  <c r="Q210"/>
  <c r="S210" s="1"/>
  <c r="Q209"/>
  <c r="S209" s="1"/>
  <c r="Q208"/>
  <c r="S208" s="1"/>
  <c r="Q207"/>
  <c r="S207" s="1"/>
  <c r="Q206"/>
  <c r="S206" s="1"/>
  <c r="Q205"/>
  <c r="S205" s="1"/>
  <c r="Q204"/>
  <c r="S204" s="1"/>
  <c r="Q203"/>
  <c r="S203" s="1"/>
  <c r="Q202"/>
  <c r="S202" s="1"/>
  <c r="Q201"/>
  <c r="S201" s="1"/>
  <c r="Q200"/>
  <c r="S200" s="1"/>
  <c r="Q183"/>
  <c r="S183" s="1"/>
  <c r="Q182"/>
  <c r="S182" s="1"/>
  <c r="Q181"/>
  <c r="S181" s="1"/>
  <c r="Q180"/>
  <c r="S180" s="1"/>
  <c r="Q179"/>
  <c r="S179" s="1"/>
  <c r="Q178"/>
  <c r="S178" s="1"/>
  <c r="Q177"/>
  <c r="S177" s="1"/>
  <c r="Q176"/>
  <c r="S176" s="1"/>
  <c r="Q175"/>
  <c r="S175" s="1"/>
  <c r="Q174"/>
  <c r="S174" s="1"/>
  <c r="Q173"/>
  <c r="S173" s="1"/>
  <c r="Q172"/>
  <c r="S172" s="1"/>
  <c r="Q171"/>
  <c r="S171" s="1"/>
  <c r="Q170"/>
  <c r="S170" s="1"/>
  <c r="Q169"/>
  <c r="S169" s="1"/>
  <c r="Q168"/>
  <c r="S168" s="1"/>
  <c r="Q167"/>
  <c r="S167" s="1"/>
  <c r="Q166"/>
  <c r="S166" s="1"/>
  <c r="Q165"/>
  <c r="S165" s="1"/>
  <c r="Q164"/>
  <c r="S164" s="1"/>
  <c r="Q163"/>
  <c r="S163" s="1"/>
  <c r="Q162"/>
  <c r="S162" s="1"/>
  <c r="Q161"/>
  <c r="S161" s="1"/>
  <c r="Q160"/>
  <c r="S160" s="1"/>
  <c r="Q159"/>
  <c r="S159" s="1"/>
  <c r="Q158"/>
  <c r="S158" s="1"/>
  <c r="Q157"/>
  <c r="S157" s="1"/>
  <c r="Q156"/>
  <c r="S156" s="1"/>
  <c r="Q139"/>
  <c r="S139" s="1"/>
  <c r="Q138"/>
  <c r="S138" s="1"/>
  <c r="Q137"/>
  <c r="S137" s="1"/>
  <c r="Q136"/>
  <c r="S136" s="1"/>
  <c r="Q135"/>
  <c r="S135" s="1"/>
  <c r="Q134"/>
  <c r="S134" s="1"/>
  <c r="Q133"/>
  <c r="S133" s="1"/>
  <c r="Q132"/>
  <c r="S132" s="1"/>
  <c r="Q131"/>
  <c r="S131" s="1"/>
  <c r="Q130"/>
  <c r="S130" s="1"/>
  <c r="Q129"/>
  <c r="S129" s="1"/>
  <c r="Q128"/>
  <c r="S128" s="1"/>
  <c r="Q127"/>
  <c r="S127" s="1"/>
  <c r="Q126"/>
  <c r="S126" s="1"/>
  <c r="Q125"/>
  <c r="S125" s="1"/>
  <c r="Q124"/>
  <c r="S124" s="1"/>
  <c r="Q255"/>
  <c r="S255" s="1"/>
  <c r="Q254"/>
  <c r="S254" s="1"/>
  <c r="Q253"/>
  <c r="S253" s="1"/>
  <c r="Q252"/>
  <c r="S252" s="1"/>
  <c r="Q251"/>
  <c r="S251" s="1"/>
  <c r="Q250"/>
  <c r="S250" s="1"/>
  <c r="Q249"/>
  <c r="S249" s="1"/>
  <c r="Q248"/>
  <c r="S248" s="1"/>
  <c r="Q231"/>
  <c r="S231" s="1"/>
  <c r="Q230"/>
  <c r="S230" s="1"/>
  <c r="Q229"/>
  <c r="S229" s="1"/>
  <c r="Q228"/>
  <c r="S228" s="1"/>
  <c r="Q227"/>
  <c r="S227" s="1"/>
  <c r="Q226"/>
  <c r="S226" s="1"/>
  <c r="Q225"/>
  <c r="S225" s="1"/>
  <c r="Q224"/>
  <c r="S224" s="1"/>
  <c r="Q223"/>
  <c r="S223" s="1"/>
  <c r="Q222"/>
  <c r="S222" s="1"/>
  <c r="Q221"/>
  <c r="S221" s="1"/>
  <c r="Q220"/>
  <c r="S220" s="1"/>
  <c r="Q219"/>
  <c r="S219" s="1"/>
  <c r="Q218"/>
  <c r="S218" s="1"/>
  <c r="Q217"/>
  <c r="S217" s="1"/>
  <c r="Q216"/>
  <c r="S216" s="1"/>
  <c r="Q199"/>
  <c r="S199" s="1"/>
  <c r="Q198"/>
  <c r="S198" s="1"/>
  <c r="Q197"/>
  <c r="S197" s="1"/>
  <c r="Q196"/>
  <c r="S196" s="1"/>
  <c r="Q195"/>
  <c r="S195" s="1"/>
  <c r="Q194"/>
  <c r="S194" s="1"/>
  <c r="Q193"/>
  <c r="S193" s="1"/>
  <c r="Q192"/>
  <c r="S192" s="1"/>
  <c r="Q191"/>
  <c r="S191" s="1"/>
  <c r="Q190"/>
  <c r="S190" s="1"/>
  <c r="Q189"/>
  <c r="S189" s="1"/>
  <c r="Q188"/>
  <c r="S188" s="1"/>
  <c r="Q187"/>
  <c r="S187" s="1"/>
  <c r="Q186"/>
  <c r="S186" s="1"/>
  <c r="Q185"/>
  <c r="S185" s="1"/>
  <c r="Q184"/>
  <c r="S184" s="1"/>
  <c r="Q155"/>
  <c r="S155" s="1"/>
  <c r="Q154"/>
  <c r="S154" s="1"/>
  <c r="Q153"/>
  <c r="S153" s="1"/>
  <c r="Q152"/>
  <c r="S152" s="1"/>
  <c r="Q151"/>
  <c r="S151" s="1"/>
  <c r="Q150"/>
  <c r="S150" s="1"/>
  <c r="Q149"/>
  <c r="S149" s="1"/>
  <c r="Q148"/>
  <c r="S148" s="1"/>
  <c r="Q147"/>
  <c r="S147" s="1"/>
  <c r="Q146"/>
  <c r="S146" s="1"/>
  <c r="Q145"/>
  <c r="S145" s="1"/>
  <c r="Q144"/>
  <c r="S144" s="1"/>
  <c r="Q143"/>
  <c r="S143" s="1"/>
  <c r="Q142"/>
  <c r="S142" s="1"/>
  <c r="Q141"/>
  <c r="S141" s="1"/>
  <c r="Q140"/>
  <c r="S140" s="1"/>
  <c r="Q123"/>
  <c r="S123" s="1"/>
  <c r="Q122"/>
  <c r="S122" s="1"/>
  <c r="Q121"/>
  <c r="S121" s="1"/>
  <c r="Q120"/>
  <c r="S120" s="1"/>
  <c r="Q119"/>
  <c r="S119" s="1"/>
  <c r="Q118"/>
  <c r="S118" s="1"/>
  <c r="Q117"/>
  <c r="S117" s="1"/>
  <c r="Q116"/>
  <c r="S116" s="1"/>
  <c r="Q115"/>
  <c r="S115" s="1"/>
  <c r="Q114"/>
  <c r="S114" s="1"/>
  <c r="Q113"/>
  <c r="S113" s="1"/>
  <c r="Q112"/>
  <c r="S112" s="1"/>
  <c r="Q111"/>
  <c r="S111" s="1"/>
  <c r="Q107"/>
  <c r="S107" s="1"/>
  <c r="Q106"/>
  <c r="S106" s="1"/>
  <c r="Q105"/>
  <c r="S105" s="1"/>
  <c r="Q104"/>
  <c r="S104" s="1"/>
  <c r="Q103"/>
  <c r="S103" s="1"/>
  <c r="Q102"/>
  <c r="S102" s="1"/>
  <c r="Q101"/>
  <c r="S101" s="1"/>
  <c r="Q100"/>
  <c r="S100" s="1"/>
  <c r="Q99"/>
  <c r="S99" s="1"/>
  <c r="Q98"/>
  <c r="S98" s="1"/>
  <c r="Q97"/>
  <c r="S97" s="1"/>
  <c r="Q96"/>
  <c r="S96" s="1"/>
  <c r="Q95"/>
  <c r="S95" s="1"/>
  <c r="Q94"/>
  <c r="S94" s="1"/>
  <c r="Q93"/>
  <c r="S93" s="1"/>
  <c r="Q92"/>
  <c r="S92" s="1"/>
  <c r="Q65"/>
  <c r="S65" s="1"/>
  <c r="Q64"/>
  <c r="S64" s="1"/>
  <c r="Q63"/>
  <c r="S63" s="1"/>
  <c r="Q62"/>
  <c r="S62" s="1"/>
  <c r="Q61"/>
  <c r="S61" s="1"/>
  <c r="Q60"/>
  <c r="S60" s="1"/>
  <c r="Q47"/>
  <c r="S47" s="1"/>
  <c r="Q46"/>
  <c r="S46" s="1"/>
  <c r="Q45"/>
  <c r="S45" s="1"/>
  <c r="Q44"/>
  <c r="S44" s="1"/>
  <c r="Q43"/>
  <c r="S43" s="1"/>
  <c r="Q42"/>
  <c r="S42" s="1"/>
  <c r="Q41"/>
  <c r="S41" s="1"/>
  <c r="Q40"/>
  <c r="S40" s="1"/>
  <c r="Q39"/>
  <c r="S39" s="1"/>
  <c r="Q38"/>
  <c r="S38" s="1"/>
  <c r="Q37"/>
  <c r="S37" s="1"/>
  <c r="Q36"/>
  <c r="S36" s="1"/>
  <c r="Q35"/>
  <c r="S35" s="1"/>
  <c r="Q34"/>
  <c r="S34" s="1"/>
  <c r="Q33"/>
  <c r="S33" s="1"/>
  <c r="Q32"/>
  <c r="S32" s="1"/>
  <c r="Q110"/>
  <c r="S110" s="1"/>
  <c r="Q109"/>
  <c r="S109" s="1"/>
  <c r="Q108"/>
  <c r="S108" s="1"/>
  <c r="Q91"/>
  <c r="S91" s="1"/>
  <c r="Q90"/>
  <c r="S90" s="1"/>
  <c r="Q89"/>
  <c r="S89" s="1"/>
  <c r="Q88"/>
  <c r="S88" s="1"/>
  <c r="Q87"/>
  <c r="S87" s="1"/>
  <c r="Q86"/>
  <c r="S86" s="1"/>
  <c r="Q85"/>
  <c r="S85" s="1"/>
  <c r="Q84"/>
  <c r="S84" s="1"/>
  <c r="Q83"/>
  <c r="S83" s="1"/>
  <c r="Q82"/>
  <c r="S82" s="1"/>
  <c r="Q81"/>
  <c r="S81" s="1"/>
  <c r="Q80"/>
  <c r="S80" s="1"/>
  <c r="Q79"/>
  <c r="S79" s="1"/>
  <c r="Q78"/>
  <c r="S78" s="1"/>
  <c r="Q77"/>
  <c r="S77" s="1"/>
  <c r="Q76"/>
  <c r="S76" s="1"/>
  <c r="Q75"/>
  <c r="S75" s="1"/>
  <c r="Q74"/>
  <c r="S74" s="1"/>
  <c r="Q73"/>
  <c r="S73" s="1"/>
  <c r="Q72"/>
  <c r="S72" s="1"/>
  <c r="Q71"/>
  <c r="S71" s="1"/>
  <c r="Q70"/>
  <c r="S70" s="1"/>
  <c r="Q69"/>
  <c r="S69" s="1"/>
  <c r="Q68"/>
  <c r="S68" s="1"/>
  <c r="Q67"/>
  <c r="S67" s="1"/>
  <c r="Q66"/>
  <c r="S66" s="1"/>
  <c r="Q59"/>
  <c r="S59" s="1"/>
  <c r="Q58"/>
  <c r="S58" s="1"/>
  <c r="Q57"/>
  <c r="S57" s="1"/>
  <c r="Q56"/>
  <c r="S56" s="1"/>
  <c r="Q55"/>
  <c r="S55" s="1"/>
  <c r="Q54"/>
  <c r="S54" s="1"/>
  <c r="Q53"/>
  <c r="S53" s="1"/>
  <c r="Q52"/>
  <c r="S52" s="1"/>
  <c r="Q51"/>
  <c r="S51" s="1"/>
  <c r="Q50"/>
  <c r="S50" s="1"/>
  <c r="Q49"/>
  <c r="S49" s="1"/>
  <c r="Q48"/>
  <c r="S48" s="1"/>
  <c r="Q31"/>
  <c r="S31" s="1"/>
  <c r="Q30"/>
  <c r="S30" s="1"/>
  <c r="Q29"/>
  <c r="S29" s="1"/>
  <c r="Q28"/>
  <c r="S28" s="1"/>
  <c r="Q27"/>
  <c r="S27" s="1"/>
  <c r="Q26"/>
  <c r="S26" s="1"/>
  <c r="Q25"/>
  <c r="S25" s="1"/>
  <c r="Q24"/>
  <c r="S24" s="1"/>
  <c r="Q23"/>
  <c r="S23" s="1"/>
  <c r="Q22"/>
  <c r="S22" s="1"/>
  <c r="Q21"/>
  <c r="S21" s="1"/>
  <c r="Q20"/>
  <c r="S20" s="1"/>
  <c r="Q19"/>
  <c r="S19" s="1"/>
  <c r="Q18"/>
  <c r="S18" s="1"/>
  <c r="Q17"/>
  <c r="S17" s="1"/>
  <c r="Q16"/>
  <c r="S16" s="1"/>
  <c r="Q15"/>
  <c r="S15" s="1"/>
  <c r="Q14"/>
  <c r="S14" s="1"/>
  <c r="Q13"/>
  <c r="S13" s="1"/>
  <c r="Q12"/>
  <c r="S12" s="1"/>
  <c r="Q11"/>
  <c r="S11" s="1"/>
  <c r="Q10"/>
  <c r="S10" s="1"/>
  <c r="Q9"/>
  <c r="S9" s="1"/>
  <c r="Q8"/>
  <c r="S8" s="1"/>
  <c r="Q7"/>
  <c r="S7" s="1"/>
  <c r="Q4"/>
  <c r="S4" s="1"/>
  <c r="Q6"/>
  <c r="S6" s="1"/>
  <c r="Q5"/>
  <c r="S5" s="1"/>
  <c r="Q3"/>
  <c r="P6"/>
  <c r="P13"/>
  <c r="P4"/>
  <c r="P12"/>
  <c r="P20"/>
  <c r="P28"/>
  <c r="P7"/>
  <c r="P11"/>
  <c r="P15"/>
  <c r="P19"/>
  <c r="P5"/>
  <c r="P10"/>
  <c r="P14"/>
  <c r="P18"/>
  <c r="P22"/>
  <c r="P26"/>
  <c r="P30"/>
  <c r="P35"/>
  <c r="P39"/>
  <c r="P43"/>
  <c r="P47"/>
  <c r="P50"/>
  <c r="P54"/>
  <c r="P58"/>
  <c r="P23"/>
  <c r="P27"/>
  <c r="P31"/>
  <c r="P34"/>
  <c r="P38"/>
  <c r="P42"/>
  <c r="P46"/>
  <c r="P51"/>
  <c r="P55"/>
  <c r="P59"/>
  <c r="P63"/>
  <c r="P66"/>
  <c r="P70"/>
  <c r="P74"/>
  <c r="P78"/>
  <c r="P82"/>
  <c r="P86"/>
  <c r="P90"/>
  <c r="P95"/>
  <c r="P99"/>
  <c r="P103"/>
  <c r="P107"/>
  <c r="P110"/>
  <c r="P114"/>
  <c r="P118"/>
  <c r="P122"/>
  <c r="P127"/>
  <c r="P131"/>
  <c r="P135"/>
  <c r="P139"/>
  <c r="P142"/>
  <c r="P146"/>
  <c r="P150"/>
  <c r="P154"/>
  <c r="P159"/>
  <c r="P163"/>
  <c r="P167"/>
  <c r="P171"/>
  <c r="P175"/>
  <c r="P179"/>
  <c r="P183"/>
  <c r="P186"/>
  <c r="P190"/>
  <c r="P194"/>
  <c r="P198"/>
  <c r="P203"/>
  <c r="P207"/>
  <c r="P211"/>
  <c r="P215"/>
  <c r="P218"/>
  <c r="P222"/>
  <c r="P226"/>
  <c r="P60"/>
  <c r="P64"/>
  <c r="P69"/>
  <c r="P73"/>
  <c r="P77"/>
  <c r="P81"/>
  <c r="P85"/>
  <c r="P89"/>
  <c r="P92"/>
  <c r="P96"/>
  <c r="P100"/>
  <c r="P104"/>
  <c r="P109"/>
  <c r="P113"/>
  <c r="P117"/>
  <c r="P121"/>
  <c r="P124"/>
  <c r="P128"/>
  <c r="P132"/>
  <c r="P136"/>
  <c r="P141"/>
  <c r="P145"/>
  <c r="P149"/>
  <c r="P153"/>
  <c r="P156"/>
  <c r="P160"/>
  <c r="P164"/>
  <c r="P168"/>
  <c r="P172"/>
  <c r="P176"/>
  <c r="P180"/>
  <c r="P185"/>
  <c r="P189"/>
  <c r="P193"/>
  <c r="P197"/>
  <c r="P200"/>
  <c r="P204"/>
  <c r="P208"/>
  <c r="P212"/>
  <c r="P217"/>
  <c r="P221"/>
  <c r="P225"/>
  <c r="P229"/>
  <c r="P233"/>
  <c r="P237"/>
  <c r="P241"/>
  <c r="P245"/>
  <c r="P248"/>
  <c r="P252"/>
  <c r="P256"/>
  <c r="P260"/>
  <c r="P264"/>
  <c r="P268"/>
  <c r="P271"/>
  <c r="P276"/>
  <c r="P280"/>
  <c r="P284"/>
  <c r="P288"/>
  <c r="P291"/>
  <c r="P295"/>
  <c r="P299"/>
  <c r="P303"/>
  <c r="P308"/>
  <c r="P312"/>
  <c r="P231"/>
  <c r="P234"/>
  <c r="P238"/>
  <c r="P242"/>
  <c r="P246"/>
  <c r="P251"/>
  <c r="P255"/>
  <c r="P259"/>
  <c r="P263"/>
  <c r="P267"/>
  <c r="P272"/>
  <c r="P275"/>
  <c r="P279"/>
  <c r="P283"/>
  <c r="P287"/>
  <c r="P292"/>
  <c r="P296"/>
  <c r="P300"/>
  <c r="P304"/>
  <c r="P307"/>
  <c r="P311"/>
  <c r="P315"/>
  <c r="P319"/>
  <c r="P324"/>
  <c r="P328"/>
  <c r="P332"/>
  <c r="P336"/>
  <c r="P339"/>
  <c r="P343"/>
  <c r="P347"/>
  <c r="P351"/>
  <c r="P356"/>
  <c r="P360"/>
  <c r="P364"/>
  <c r="P368"/>
  <c r="P372"/>
  <c r="P376"/>
  <c r="P380"/>
  <c r="P384"/>
  <c r="P387"/>
  <c r="P391"/>
  <c r="P395"/>
  <c r="P399"/>
  <c r="P318"/>
  <c r="P321"/>
  <c r="P325"/>
  <c r="P329"/>
  <c r="P333"/>
  <c r="P338"/>
  <c r="P342"/>
  <c r="P346"/>
  <c r="P350"/>
  <c r="P353"/>
  <c r="P357"/>
  <c r="P361"/>
  <c r="P365"/>
  <c r="P369"/>
  <c r="P373"/>
  <c r="P377"/>
  <c r="P381"/>
  <c r="P386"/>
  <c r="P390"/>
  <c r="P394"/>
  <c r="P398"/>
  <c r="P9"/>
  <c r="P17"/>
  <c r="P8"/>
  <c r="P16"/>
  <c r="P24"/>
  <c r="P33"/>
  <c r="P37"/>
  <c r="P41"/>
  <c r="P45"/>
  <c r="P48"/>
  <c r="P52"/>
  <c r="P56"/>
  <c r="P21"/>
  <c r="P25"/>
  <c r="P29"/>
  <c r="P32"/>
  <c r="P36"/>
  <c r="P40"/>
  <c r="P44"/>
  <c r="P49"/>
  <c r="P53"/>
  <c r="P57"/>
  <c r="P61"/>
  <c r="P65"/>
  <c r="P68"/>
  <c r="P72"/>
  <c r="P76"/>
  <c r="P80"/>
  <c r="P84"/>
  <c r="P88"/>
  <c r="P93"/>
  <c r="P97"/>
  <c r="P101"/>
  <c r="P105"/>
  <c r="P108"/>
  <c r="P112"/>
  <c r="P116"/>
  <c r="P120"/>
  <c r="P125"/>
  <c r="P129"/>
  <c r="P133"/>
  <c r="P137"/>
  <c r="P140"/>
  <c r="P144"/>
  <c r="P148"/>
  <c r="P152"/>
  <c r="P157"/>
  <c r="P161"/>
  <c r="P165"/>
  <c r="P169"/>
  <c r="P173"/>
  <c r="P177"/>
  <c r="P181"/>
  <c r="P184"/>
  <c r="P188"/>
  <c r="P192"/>
  <c r="P196"/>
  <c r="P201"/>
  <c r="P205"/>
  <c r="P209"/>
  <c r="P213"/>
  <c r="P216"/>
  <c r="P220"/>
  <c r="P224"/>
  <c r="P228"/>
  <c r="P62"/>
  <c r="P67"/>
  <c r="P71"/>
  <c r="P75"/>
  <c r="P79"/>
  <c r="P83"/>
  <c r="P87"/>
  <c r="P91"/>
  <c r="P94"/>
  <c r="P98"/>
  <c r="P102"/>
  <c r="P106"/>
  <c r="P111"/>
  <c r="P115"/>
  <c r="P119"/>
  <c r="P123"/>
  <c r="P126"/>
  <c r="P130"/>
  <c r="P134"/>
  <c r="P138"/>
  <c r="P143"/>
  <c r="P147"/>
  <c r="P151"/>
  <c r="P155"/>
  <c r="P158"/>
  <c r="P162"/>
  <c r="P166"/>
  <c r="P170"/>
  <c r="P174"/>
  <c r="P178"/>
  <c r="P182"/>
  <c r="P187"/>
  <c r="P191"/>
  <c r="P195"/>
  <c r="P199"/>
  <c r="P202"/>
  <c r="P206"/>
  <c r="P210"/>
  <c r="P214"/>
  <c r="P219"/>
  <c r="P223"/>
  <c r="P227"/>
  <c r="P230"/>
  <c r="P235"/>
  <c r="P239"/>
  <c r="P243"/>
  <c r="P247"/>
  <c r="P250"/>
  <c r="P254"/>
  <c r="P258"/>
  <c r="P262"/>
  <c r="P266"/>
  <c r="P269"/>
  <c r="P274"/>
  <c r="P278"/>
  <c r="P282"/>
  <c r="P286"/>
  <c r="P289"/>
  <c r="P293"/>
  <c r="P297"/>
  <c r="P301"/>
  <c r="P306"/>
  <c r="P310"/>
  <c r="P314"/>
  <c r="P232"/>
  <c r="P236"/>
  <c r="P240"/>
  <c r="P244"/>
  <c r="P249"/>
  <c r="P253"/>
  <c r="P257"/>
  <c r="P261"/>
  <c r="P265"/>
  <c r="P270"/>
  <c r="P273"/>
  <c r="P277"/>
  <c r="P281"/>
  <c r="P285"/>
  <c r="P290"/>
  <c r="P294"/>
  <c r="P298"/>
  <c r="P302"/>
  <c r="P305"/>
  <c r="P309"/>
  <c r="P313"/>
  <c r="P317"/>
  <c r="P322"/>
  <c r="P326"/>
  <c r="P330"/>
  <c r="P334"/>
  <c r="P337"/>
  <c r="P341"/>
  <c r="P345"/>
  <c r="P349"/>
  <c r="P354"/>
  <c r="P358"/>
  <c r="P362"/>
  <c r="P366"/>
  <c r="P370"/>
  <c r="P374"/>
  <c r="P378"/>
  <c r="P382"/>
  <c r="P385"/>
  <c r="P389"/>
  <c r="P393"/>
  <c r="P397"/>
  <c r="P316"/>
  <c r="P320"/>
  <c r="P323"/>
  <c r="P327"/>
  <c r="P331"/>
  <c r="P335"/>
  <c r="P340"/>
  <c r="P344"/>
  <c r="P348"/>
  <c r="P352"/>
  <c r="P355"/>
  <c r="P359"/>
  <c r="P363"/>
  <c r="P367"/>
  <c r="P371"/>
  <c r="P375"/>
  <c r="P379"/>
  <c r="P383"/>
  <c r="P388"/>
  <c r="P392"/>
  <c r="P396"/>
  <c r="W19" i="7"/>
  <c r="R19"/>
  <c r="P19"/>
  <c r="M19"/>
  <c r="J19"/>
  <c r="F19"/>
  <c r="B19"/>
  <c r="W18"/>
  <c r="R18"/>
  <c r="P18"/>
  <c r="M18"/>
  <c r="J18"/>
  <c r="F18"/>
  <c r="P17"/>
  <c r="Q17" s="1"/>
  <c r="M17"/>
  <c r="N17" s="1"/>
  <c r="J17"/>
  <c r="K17" s="1"/>
  <c r="F17"/>
  <c r="W16"/>
  <c r="P16"/>
  <c r="Q16" s="1"/>
  <c r="M16"/>
  <c r="N16" s="1"/>
  <c r="J16"/>
  <c r="K16" s="1"/>
  <c r="F16"/>
  <c r="B16"/>
  <c r="W15"/>
  <c r="P15"/>
  <c r="M15"/>
  <c r="J15"/>
  <c r="F15"/>
  <c r="W14"/>
  <c r="P14"/>
  <c r="M14"/>
  <c r="J14"/>
  <c r="F14"/>
  <c r="W13"/>
  <c r="P13"/>
  <c r="M13"/>
  <c r="J13"/>
  <c r="F13"/>
  <c r="B6" i="11" l="1"/>
  <c r="M7" s="1"/>
  <c r="A35" s="1"/>
  <c r="B37" s="1"/>
  <c r="A41" s="1"/>
  <c r="U6" i="7"/>
  <c r="U28" s="1"/>
  <c r="E4" i="12"/>
  <c r="E42"/>
  <c r="E74"/>
  <c r="E98"/>
  <c r="E114"/>
  <c r="E122"/>
  <c r="E130"/>
  <c r="E138"/>
  <c r="E146"/>
  <c r="E154"/>
  <c r="E162"/>
  <c r="E170"/>
  <c r="E178"/>
  <c r="E186"/>
  <c r="E194"/>
  <c r="E202"/>
  <c r="E210"/>
  <c r="E218"/>
  <c r="E226"/>
  <c r="E234"/>
  <c r="E242"/>
  <c r="E250"/>
  <c r="E258"/>
  <c r="E266"/>
  <c r="E274"/>
  <c r="E282"/>
  <c r="E290"/>
  <c r="E298"/>
  <c r="E306"/>
  <c r="E314"/>
  <c r="E322"/>
  <c r="E330"/>
  <c r="E338"/>
  <c r="E346"/>
  <c r="E354"/>
  <c r="E362"/>
  <c r="E370"/>
  <c r="E378"/>
  <c r="E386"/>
  <c r="E394"/>
  <c r="Q8" i="11"/>
  <c r="E9" i="12"/>
  <c r="E17"/>
  <c r="E25"/>
  <c r="E33"/>
  <c r="E41"/>
  <c r="E49"/>
  <c r="E57"/>
  <c r="E65"/>
  <c r="E73"/>
  <c r="E81"/>
  <c r="E89"/>
  <c r="E97"/>
  <c r="E105"/>
  <c r="E113"/>
  <c r="E121"/>
  <c r="E129"/>
  <c r="E137"/>
  <c r="E145"/>
  <c r="E153"/>
  <c r="E161"/>
  <c r="E169"/>
  <c r="E177"/>
  <c r="E185"/>
  <c r="E193"/>
  <c r="E201"/>
  <c r="E209"/>
  <c r="E217"/>
  <c r="E225"/>
  <c r="E233"/>
  <c r="E241"/>
  <c r="E249"/>
  <c r="E257"/>
  <c r="E265"/>
  <c r="E273"/>
  <c r="E281"/>
  <c r="E289"/>
  <c r="E297"/>
  <c r="E305"/>
  <c r="E313"/>
  <c r="E321"/>
  <c r="E329"/>
  <c r="E337"/>
  <c r="E345"/>
  <c r="E353"/>
  <c r="E361"/>
  <c r="E369"/>
  <c r="E377"/>
  <c r="E385"/>
  <c r="E393"/>
  <c r="P28" i="7"/>
  <c r="J7" s="1"/>
  <c r="P27"/>
  <c r="R26"/>
  <c r="P25"/>
  <c r="L3" s="1"/>
  <c r="L33" s="1"/>
  <c r="L35" s="1"/>
  <c r="P26"/>
  <c r="R25"/>
  <c r="E7" s="1"/>
  <c r="R20"/>
  <c r="K13"/>
  <c r="Q13"/>
  <c r="N14"/>
  <c r="K15"/>
  <c r="Q15"/>
  <c r="N18"/>
  <c r="K19"/>
  <c r="Q19"/>
  <c r="N13"/>
  <c r="K14"/>
  <c r="Q14"/>
  <c r="N15"/>
  <c r="K18"/>
  <c r="Q18"/>
  <c r="N19"/>
  <c r="U28" i="11"/>
  <c r="A21" l="1"/>
  <c r="A20" s="1"/>
  <c r="E106" i="12"/>
  <c r="E90"/>
  <c r="E58"/>
  <c r="E26"/>
  <c r="E82"/>
  <c r="E66"/>
  <c r="E50"/>
  <c r="E34"/>
  <c r="E18"/>
  <c r="E397"/>
  <c r="E389"/>
  <c r="E381"/>
  <c r="E373"/>
  <c r="E365"/>
  <c r="E357"/>
  <c r="E349"/>
  <c r="E341"/>
  <c r="E333"/>
  <c r="E325"/>
  <c r="E317"/>
  <c r="E309"/>
  <c r="E301"/>
  <c r="E293"/>
  <c r="E285"/>
  <c r="E277"/>
  <c r="E269"/>
  <c r="E261"/>
  <c r="E253"/>
  <c r="E245"/>
  <c r="E237"/>
  <c r="E229"/>
  <c r="E221"/>
  <c r="E213"/>
  <c r="E205"/>
  <c r="E197"/>
  <c r="E189"/>
  <c r="E181"/>
  <c r="E173"/>
  <c r="E165"/>
  <c r="E157"/>
  <c r="E149"/>
  <c r="E141"/>
  <c r="E133"/>
  <c r="E125"/>
  <c r="E117"/>
  <c r="E109"/>
  <c r="E101"/>
  <c r="E93"/>
  <c r="E85"/>
  <c r="E77"/>
  <c r="E69"/>
  <c r="E61"/>
  <c r="E53"/>
  <c r="E45"/>
  <c r="E37"/>
  <c r="E29"/>
  <c r="E21"/>
  <c r="E13"/>
  <c r="E5"/>
  <c r="E398"/>
  <c r="E390"/>
  <c r="E382"/>
  <c r="E374"/>
  <c r="E366"/>
  <c r="E358"/>
  <c r="E350"/>
  <c r="E342"/>
  <c r="E334"/>
  <c r="E326"/>
  <c r="E318"/>
  <c r="E310"/>
  <c r="E302"/>
  <c r="E294"/>
  <c r="E286"/>
  <c r="E278"/>
  <c r="E270"/>
  <c r="E262"/>
  <c r="E254"/>
  <c r="E246"/>
  <c r="E238"/>
  <c r="E230"/>
  <c r="E222"/>
  <c r="E214"/>
  <c r="E206"/>
  <c r="E198"/>
  <c r="E190"/>
  <c r="E182"/>
  <c r="E174"/>
  <c r="E166"/>
  <c r="E158"/>
  <c r="E150"/>
  <c r="E142"/>
  <c r="E134"/>
  <c r="E126"/>
  <c r="E118"/>
  <c r="E110"/>
  <c r="E102"/>
  <c r="E94"/>
  <c r="E86"/>
  <c r="E78"/>
  <c r="E70"/>
  <c r="E62"/>
  <c r="E54"/>
  <c r="E46"/>
  <c r="E38"/>
  <c r="E30"/>
  <c r="E22"/>
  <c r="E14"/>
  <c r="E10"/>
  <c r="E399"/>
  <c r="E395"/>
  <c r="E391"/>
  <c r="E387"/>
  <c r="E383"/>
  <c r="E379"/>
  <c r="E375"/>
  <c r="E371"/>
  <c r="E367"/>
  <c r="E363"/>
  <c r="E359"/>
  <c r="E355"/>
  <c r="E351"/>
  <c r="E347"/>
  <c r="E343"/>
  <c r="E339"/>
  <c r="E335"/>
  <c r="E331"/>
  <c r="E327"/>
  <c r="E323"/>
  <c r="E319"/>
  <c r="E315"/>
  <c r="E311"/>
  <c r="E307"/>
  <c r="E303"/>
  <c r="E299"/>
  <c r="E295"/>
  <c r="E291"/>
  <c r="E287"/>
  <c r="E283"/>
  <c r="E279"/>
  <c r="E275"/>
  <c r="E271"/>
  <c r="E267"/>
  <c r="E263"/>
  <c r="E259"/>
  <c r="E255"/>
  <c r="E251"/>
  <c r="E247"/>
  <c r="E243"/>
  <c r="E239"/>
  <c r="E235"/>
  <c r="E231"/>
  <c r="E227"/>
  <c r="E223"/>
  <c r="E219"/>
  <c r="E215"/>
  <c r="E211"/>
  <c r="E207"/>
  <c r="E203"/>
  <c r="E199"/>
  <c r="E195"/>
  <c r="E191"/>
  <c r="E187"/>
  <c r="E183"/>
  <c r="E179"/>
  <c r="E175"/>
  <c r="E171"/>
  <c r="E167"/>
  <c r="E163"/>
  <c r="E159"/>
  <c r="E155"/>
  <c r="E151"/>
  <c r="E147"/>
  <c r="E143"/>
  <c r="E139"/>
  <c r="E135"/>
  <c r="E131"/>
  <c r="E127"/>
  <c r="E123"/>
  <c r="E119"/>
  <c r="E115"/>
  <c r="E111"/>
  <c r="E107"/>
  <c r="E103"/>
  <c r="E99"/>
  <c r="E95"/>
  <c r="E91"/>
  <c r="E87"/>
  <c r="E83"/>
  <c r="E79"/>
  <c r="E75"/>
  <c r="E71"/>
  <c r="E67"/>
  <c r="E63"/>
  <c r="E59"/>
  <c r="E55"/>
  <c r="E51"/>
  <c r="E47"/>
  <c r="E43"/>
  <c r="E39"/>
  <c r="E35"/>
  <c r="E31"/>
  <c r="E27"/>
  <c r="E23"/>
  <c r="E19"/>
  <c r="E15"/>
  <c r="E11"/>
  <c r="E7"/>
  <c r="E8" i="11"/>
  <c r="J8" s="1"/>
  <c r="E3" i="12"/>
  <c r="E396"/>
  <c r="E392"/>
  <c r="E388"/>
  <c r="E384"/>
  <c r="E380"/>
  <c r="E376"/>
  <c r="E372"/>
  <c r="E368"/>
  <c r="E364"/>
  <c r="E360"/>
  <c r="E356"/>
  <c r="E352"/>
  <c r="E348"/>
  <c r="E344"/>
  <c r="E340"/>
  <c r="E336"/>
  <c r="E332"/>
  <c r="E328"/>
  <c r="E324"/>
  <c r="E320"/>
  <c r="E316"/>
  <c r="E312"/>
  <c r="E308"/>
  <c r="E304"/>
  <c r="E300"/>
  <c r="E296"/>
  <c r="E292"/>
  <c r="E288"/>
  <c r="E284"/>
  <c r="E280"/>
  <c r="E276"/>
  <c r="E272"/>
  <c r="E268"/>
  <c r="E264"/>
  <c r="E260"/>
  <c r="E256"/>
  <c r="E252"/>
  <c r="E248"/>
  <c r="E244"/>
  <c r="E240"/>
  <c r="E236"/>
  <c r="E232"/>
  <c r="E228"/>
  <c r="E224"/>
  <c r="E220"/>
  <c r="E216"/>
  <c r="E212"/>
  <c r="E208"/>
  <c r="E204"/>
  <c r="E200"/>
  <c r="E196"/>
  <c r="E192"/>
  <c r="E188"/>
  <c r="E184"/>
  <c r="E180"/>
  <c r="E176"/>
  <c r="E172"/>
  <c r="E168"/>
  <c r="E164"/>
  <c r="E160"/>
  <c r="E156"/>
  <c r="E152"/>
  <c r="E148"/>
  <c r="E144"/>
  <c r="E140"/>
  <c r="E136"/>
  <c r="E132"/>
  <c r="E128"/>
  <c r="E124"/>
  <c r="E120"/>
  <c r="E116"/>
  <c r="E112"/>
  <c r="E108"/>
  <c r="E104"/>
  <c r="E100"/>
  <c r="E96"/>
  <c r="E92"/>
  <c r="E88"/>
  <c r="E84"/>
  <c r="E80"/>
  <c r="E76"/>
  <c r="E72"/>
  <c r="E68"/>
  <c r="E64"/>
  <c r="E60"/>
  <c r="E56"/>
  <c r="E52"/>
  <c r="E48"/>
  <c r="E44"/>
  <c r="E40"/>
  <c r="E36"/>
  <c r="E32"/>
  <c r="E28"/>
  <c r="E24"/>
  <c r="E20"/>
  <c r="E16"/>
  <c r="E12"/>
  <c r="E8"/>
  <c r="E6"/>
  <c r="R22" i="7"/>
  <c r="J9" s="1"/>
  <c r="Q9" i="11"/>
  <c r="V30"/>
  <c r="Q20" i="7"/>
  <c r="N20"/>
  <c r="K20"/>
  <c r="M7" s="1"/>
  <c r="F30" i="11"/>
  <c r="K3"/>
  <c r="Q3"/>
  <c r="Y4" i="12"/>
  <c r="Y6"/>
  <c r="Y31"/>
  <c r="Y47"/>
  <c r="Y59"/>
  <c r="Y65"/>
  <c r="Y91"/>
  <c r="Y107"/>
  <c r="Y123"/>
  <c r="Y139"/>
  <c r="Y155"/>
  <c r="Y183"/>
  <c r="Y199"/>
  <c r="Y215"/>
  <c r="Y231"/>
  <c r="Y247"/>
  <c r="Y272"/>
  <c r="Y288"/>
  <c r="Y304"/>
  <c r="Y320"/>
  <c r="Y336"/>
  <c r="Y352"/>
  <c r="Y384"/>
  <c r="F32" i="11" l="1"/>
  <c r="V398" i="12" s="1"/>
  <c r="N32" i="11"/>
  <c r="L34" s="1"/>
  <c r="W6" i="7"/>
  <c r="W28" s="1"/>
  <c r="N9"/>
  <c r="M9" s="1"/>
  <c r="V399" i="12"/>
  <c r="V397"/>
  <c r="V395"/>
  <c r="V393"/>
  <c r="V391"/>
  <c r="V389"/>
  <c r="V387"/>
  <c r="V385"/>
  <c r="V383"/>
  <c r="V381"/>
  <c r="V379"/>
  <c r="V377"/>
  <c r="V375"/>
  <c r="V373"/>
  <c r="V371"/>
  <c r="V369"/>
  <c r="V367"/>
  <c r="V365"/>
  <c r="V363"/>
  <c r="V361"/>
  <c r="V359"/>
  <c r="V357"/>
  <c r="V355"/>
  <c r="V353"/>
  <c r="V350"/>
  <c r="V346"/>
  <c r="V342"/>
  <c r="V338"/>
  <c r="V334"/>
  <c r="V330"/>
  <c r="V304"/>
  <c r="V302"/>
  <c r="V300"/>
  <c r="V298"/>
  <c r="V296"/>
  <c r="V294"/>
  <c r="V292"/>
  <c r="V290"/>
  <c r="V288"/>
  <c r="V286"/>
  <c r="V284"/>
  <c r="V282"/>
  <c r="V280"/>
  <c r="V278"/>
  <c r="V276"/>
  <c r="V274"/>
  <c r="V272"/>
  <c r="V270"/>
  <c r="V268"/>
  <c r="V349"/>
  <c r="V345"/>
  <c r="V341"/>
  <c r="V337"/>
  <c r="V333"/>
  <c r="V329"/>
  <c r="V326"/>
  <c r="V324"/>
  <c r="V322"/>
  <c r="V320"/>
  <c r="V318"/>
  <c r="V316"/>
  <c r="V314"/>
  <c r="V312"/>
  <c r="V310"/>
  <c r="V308"/>
  <c r="V306"/>
  <c r="V267"/>
  <c r="V265"/>
  <c r="V263"/>
  <c r="V261"/>
  <c r="V259"/>
  <c r="V257"/>
  <c r="V255"/>
  <c r="V253"/>
  <c r="V251"/>
  <c r="V249"/>
  <c r="V247"/>
  <c r="V245"/>
  <c r="V243"/>
  <c r="V241"/>
  <c r="V239"/>
  <c r="V237"/>
  <c r="V235"/>
  <c r="V233"/>
  <c r="V230"/>
  <c r="V226"/>
  <c r="V222"/>
  <c r="V220"/>
  <c r="V218"/>
  <c r="V216"/>
  <c r="V64"/>
  <c r="V62"/>
  <c r="V60"/>
  <c r="V58"/>
  <c r="V56"/>
  <c r="V54"/>
  <c r="V52"/>
  <c r="V50"/>
  <c r="V48"/>
  <c r="V231"/>
  <c r="V227"/>
  <c r="V223"/>
  <c r="V214"/>
  <c r="V212"/>
  <c r="V210"/>
  <c r="V208"/>
  <c r="V206"/>
  <c r="V204"/>
  <c r="V202"/>
  <c r="V200"/>
  <c r="V198"/>
  <c r="V196"/>
  <c r="V194"/>
  <c r="V192"/>
  <c r="V190"/>
  <c r="V188"/>
  <c r="V186"/>
  <c r="V184"/>
  <c r="V182"/>
  <c r="V180"/>
  <c r="V178"/>
  <c r="V176"/>
  <c r="V174"/>
  <c r="V172"/>
  <c r="V170"/>
  <c r="V168"/>
  <c r="V166"/>
  <c r="V164"/>
  <c r="V162"/>
  <c r="V160"/>
  <c r="V158"/>
  <c r="V156"/>
  <c r="V154"/>
  <c r="V152"/>
  <c r="V150"/>
  <c r="V148"/>
  <c r="V146"/>
  <c r="V144"/>
  <c r="V142"/>
  <c r="V140"/>
  <c r="V138"/>
  <c r="V136"/>
  <c r="V134"/>
  <c r="V132"/>
  <c r="V130"/>
  <c r="V128"/>
  <c r="V126"/>
  <c r="V124"/>
  <c r="V122"/>
  <c r="V120"/>
  <c r="V118"/>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8"/>
  <c r="V76"/>
  <c r="V74"/>
  <c r="V72"/>
  <c r="V70"/>
  <c r="V68"/>
  <c r="V66"/>
  <c r="V28"/>
  <c r="V27"/>
  <c r="V26"/>
  <c r="V25"/>
  <c r="V24"/>
  <c r="V23"/>
  <c r="V21"/>
  <c r="V79"/>
  <c r="V77"/>
  <c r="V75"/>
  <c r="V73"/>
  <c r="V71"/>
  <c r="V69"/>
  <c r="V67"/>
  <c r="V46"/>
  <c r="V45"/>
  <c r="V44"/>
  <c r="V43"/>
  <c r="V42"/>
  <c r="V41"/>
  <c r="V40"/>
  <c r="V39"/>
  <c r="V38"/>
  <c r="V37"/>
  <c r="V36"/>
  <c r="V35"/>
  <c r="V34"/>
  <c r="V33"/>
  <c r="V32"/>
  <c r="V31"/>
  <c r="V30"/>
  <c r="V29"/>
  <c r="V22"/>
  <c r="V6"/>
  <c r="V5"/>
  <c r="V4"/>
  <c r="V20"/>
  <c r="V18"/>
  <c r="V16"/>
  <c r="V14"/>
  <c r="V12"/>
  <c r="V10"/>
  <c r="V8"/>
  <c r="V19"/>
  <c r="V17"/>
  <c r="V15"/>
  <c r="V13"/>
  <c r="V11"/>
  <c r="V9"/>
  <c r="V7"/>
  <c r="V3"/>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221"/>
  <c r="I220"/>
  <c r="I219"/>
  <c r="I218"/>
  <c r="I217"/>
  <c r="I216"/>
  <c r="I46"/>
  <c r="I45"/>
  <c r="I44"/>
  <c r="I43"/>
  <c r="I42"/>
  <c r="I41"/>
  <c r="I40"/>
  <c r="I39"/>
  <c r="I38"/>
  <c r="I37"/>
  <c r="I36"/>
  <c r="I35"/>
  <c r="I34"/>
  <c r="I33"/>
  <c r="I32"/>
  <c r="I31"/>
  <c r="I30"/>
  <c r="I29"/>
  <c r="I28"/>
  <c r="I27"/>
  <c r="I26"/>
  <c r="I25"/>
  <c r="I24"/>
  <c r="I23"/>
  <c r="I22"/>
  <c r="I21"/>
  <c r="I65"/>
  <c r="I64"/>
  <c r="I63"/>
  <c r="I62"/>
  <c r="I61"/>
  <c r="I60"/>
  <c r="I59"/>
  <c r="I58"/>
  <c r="I57"/>
  <c r="I56"/>
  <c r="I55"/>
  <c r="I54"/>
  <c r="I53"/>
  <c r="I52"/>
  <c r="I51"/>
  <c r="I50"/>
  <c r="I49"/>
  <c r="I48"/>
  <c r="I47"/>
  <c r="I20"/>
  <c r="I19"/>
  <c r="I18"/>
  <c r="I17"/>
  <c r="I16"/>
  <c r="I15"/>
  <c r="I14"/>
  <c r="I13"/>
  <c r="I12"/>
  <c r="I11"/>
  <c r="I10"/>
  <c r="I9"/>
  <c r="I8"/>
  <c r="I7"/>
  <c r="I6"/>
  <c r="I4"/>
  <c r="I5"/>
  <c r="I3"/>
  <c r="J92" i="8"/>
  <c r="J90"/>
  <c r="J88"/>
  <c r="J86"/>
  <c r="J84"/>
  <c r="J82"/>
  <c r="J80"/>
  <c r="J77"/>
  <c r="J75"/>
  <c r="J73"/>
  <c r="J71"/>
  <c r="J69"/>
  <c r="J67"/>
  <c r="J65"/>
  <c r="J62"/>
  <c r="J60"/>
  <c r="J58"/>
  <c r="J56"/>
  <c r="J54"/>
  <c r="J52"/>
  <c r="J50"/>
  <c r="J46"/>
  <c r="J44"/>
  <c r="J41"/>
  <c r="J39"/>
  <c r="J32"/>
  <c r="J31"/>
  <c r="N29"/>
  <c r="N28"/>
  <c r="N27"/>
  <c r="N26"/>
  <c r="N25"/>
  <c r="N24"/>
  <c r="N23"/>
  <c r="N22"/>
  <c r="N21"/>
  <c r="N20"/>
  <c r="N19"/>
  <c r="N18"/>
  <c r="N17"/>
  <c r="N16"/>
  <c r="J15"/>
  <c r="J14"/>
  <c r="J13"/>
  <c r="J12"/>
  <c r="J11"/>
  <c r="J10"/>
  <c r="J9"/>
  <c r="J8"/>
  <c r="J7"/>
  <c r="J6"/>
  <c r="J5"/>
  <c r="J4"/>
  <c r="J3"/>
  <c r="J93"/>
  <c r="J91"/>
  <c r="J89"/>
  <c r="J87"/>
  <c r="J85"/>
  <c r="J83"/>
  <c r="J81"/>
  <c r="J78"/>
  <c r="J76"/>
  <c r="J74"/>
  <c r="J72"/>
  <c r="J70"/>
  <c r="J68"/>
  <c r="J66"/>
  <c r="J63"/>
  <c r="J61"/>
  <c r="J59"/>
  <c r="J57"/>
  <c r="J55"/>
  <c r="J53"/>
  <c r="J51"/>
  <c r="J47"/>
  <c r="J45"/>
  <c r="J42"/>
  <c r="J40"/>
  <c r="J37"/>
  <c r="J36"/>
  <c r="J35"/>
  <c r="J34"/>
  <c r="N31"/>
  <c r="N30"/>
  <c r="J29"/>
  <c r="J28"/>
  <c r="J27"/>
  <c r="J26"/>
  <c r="J25"/>
  <c r="J24"/>
  <c r="J23"/>
  <c r="J22"/>
  <c r="J21"/>
  <c r="J20"/>
  <c r="J19"/>
  <c r="J18"/>
  <c r="J17"/>
  <c r="N15"/>
  <c r="N14"/>
  <c r="N13"/>
  <c r="N12"/>
  <c r="N11"/>
  <c r="N10"/>
  <c r="N9"/>
  <c r="N8"/>
  <c r="N7"/>
  <c r="N6"/>
  <c r="N5"/>
  <c r="N4"/>
  <c r="N3"/>
  <c r="V117" i="12" l="1"/>
  <c r="V119"/>
  <c r="V121"/>
  <c r="V123"/>
  <c r="V125"/>
  <c r="V127"/>
  <c r="V129"/>
  <c r="V131"/>
  <c r="V133"/>
  <c r="V135"/>
  <c r="V137"/>
  <c r="V139"/>
  <c r="V141"/>
  <c r="V143"/>
  <c r="V145"/>
  <c r="V147"/>
  <c r="V149"/>
  <c r="V151"/>
  <c r="V153"/>
  <c r="V155"/>
  <c r="V157"/>
  <c r="V159"/>
  <c r="V161"/>
  <c r="V163"/>
  <c r="V165"/>
  <c r="V167"/>
  <c r="V169"/>
  <c r="V171"/>
  <c r="V173"/>
  <c r="V175"/>
  <c r="V177"/>
  <c r="V179"/>
  <c r="V181"/>
  <c r="V183"/>
  <c r="V185"/>
  <c r="V187"/>
  <c r="V189"/>
  <c r="V191"/>
  <c r="V193"/>
  <c r="V195"/>
  <c r="V197"/>
  <c r="V199"/>
  <c r="V201"/>
  <c r="V203"/>
  <c r="V205"/>
  <c r="V207"/>
  <c r="V209"/>
  <c r="V211"/>
  <c r="V213"/>
  <c r="V215"/>
  <c r="V225"/>
  <c r="V229"/>
  <c r="V47"/>
  <c r="V49"/>
  <c r="V51"/>
  <c r="V53"/>
  <c r="V55"/>
  <c r="V57"/>
  <c r="V59"/>
  <c r="V61"/>
  <c r="V63"/>
  <c r="V65"/>
  <c r="V217"/>
  <c r="V219"/>
  <c r="V221"/>
  <c r="V224"/>
  <c r="V228"/>
  <c r="V232"/>
  <c r="V234"/>
  <c r="V236"/>
  <c r="V238"/>
  <c r="V240"/>
  <c r="V242"/>
  <c r="V244"/>
  <c r="V246"/>
  <c r="V248"/>
  <c r="V250"/>
  <c r="V252"/>
  <c r="V254"/>
  <c r="V256"/>
  <c r="V258"/>
  <c r="V260"/>
  <c r="V262"/>
  <c r="V264"/>
  <c r="V266"/>
  <c r="V305"/>
  <c r="V307"/>
  <c r="V309"/>
  <c r="V311"/>
  <c r="V313"/>
  <c r="V315"/>
  <c r="V317"/>
  <c r="V319"/>
  <c r="V321"/>
  <c r="V323"/>
  <c r="V325"/>
  <c r="V327"/>
  <c r="V331"/>
  <c r="V335"/>
  <c r="V339"/>
  <c r="V343"/>
  <c r="V347"/>
  <c r="V351"/>
  <c r="V269"/>
  <c r="V271"/>
  <c r="V273"/>
  <c r="V275"/>
  <c r="V277"/>
  <c r="V279"/>
  <c r="V281"/>
  <c r="V283"/>
  <c r="V285"/>
  <c r="V287"/>
  <c r="V289"/>
  <c r="V291"/>
  <c r="V293"/>
  <c r="V295"/>
  <c r="V297"/>
  <c r="V299"/>
  <c r="V301"/>
  <c r="V303"/>
  <c r="V328"/>
  <c r="V332"/>
  <c r="V336"/>
  <c r="V340"/>
  <c r="V344"/>
  <c r="V348"/>
  <c r="V352"/>
  <c r="V354"/>
  <c r="V356"/>
  <c r="V358"/>
  <c r="V360"/>
  <c r="V362"/>
  <c r="V364"/>
  <c r="V366"/>
  <c r="V368"/>
  <c r="V370"/>
  <c r="V372"/>
  <c r="V374"/>
  <c r="V376"/>
  <c r="V378"/>
  <c r="V380"/>
  <c r="V382"/>
  <c r="V384"/>
  <c r="V386"/>
  <c r="V388"/>
  <c r="V390"/>
  <c r="V392"/>
  <c r="V394"/>
  <c r="V396"/>
  <c r="E8" i="7"/>
  <c r="J8" s="1"/>
  <c r="Q8"/>
  <c r="Q9" l="1"/>
  <c r="W29" s="1"/>
  <c r="V30"/>
  <c r="U30" s="1"/>
  <c r="R3" l="1"/>
  <c r="M37" l="1"/>
  <c r="L37" s="1"/>
  <c r="U29" i="11"/>
  <c r="H200" i="12"/>
  <c r="L200" s="1"/>
  <c r="AA200" s="1"/>
  <c r="Z200" l="1"/>
  <c r="M200"/>
  <c r="H3"/>
  <c r="H8"/>
  <c r="L8" s="1"/>
  <c r="AA8" s="1"/>
  <c r="H51"/>
  <c r="L51" s="1"/>
  <c r="AA51" s="1"/>
  <c r="H19"/>
  <c r="L19" s="1"/>
  <c r="AA19" s="1"/>
  <c r="H289"/>
  <c r="L289" s="1"/>
  <c r="AA289" s="1"/>
  <c r="H361"/>
  <c r="L361" s="1"/>
  <c r="AA361" s="1"/>
  <c r="H355"/>
  <c r="L355" s="1"/>
  <c r="AA355" s="1"/>
  <c r="H315"/>
  <c r="L315" s="1"/>
  <c r="AA315" s="1"/>
  <c r="H65"/>
  <c r="L65" s="1"/>
  <c r="AA65" s="1"/>
  <c r="H49"/>
  <c r="L49" s="1"/>
  <c r="AA49" s="1"/>
  <c r="H37"/>
  <c r="L37" s="1"/>
  <c r="AA37" s="1"/>
  <c r="H177"/>
  <c r="L177" s="1"/>
  <c r="AA177" s="1"/>
  <c r="H229"/>
  <c r="L229" s="1"/>
  <c r="AA229" s="1"/>
  <c r="H257"/>
  <c r="L257" s="1"/>
  <c r="AA257" s="1"/>
  <c r="H396"/>
  <c r="L396" s="1"/>
  <c r="AA396" s="1"/>
  <c r="H380"/>
  <c r="L380" s="1"/>
  <c r="AA380" s="1"/>
  <c r="H364"/>
  <c r="L364" s="1"/>
  <c r="AA364" s="1"/>
  <c r="H312"/>
  <c r="L312" s="1"/>
  <c r="AA312" s="1"/>
  <c r="H296"/>
  <c r="L296" s="1"/>
  <c r="AA296" s="1"/>
  <c r="H280"/>
  <c r="L280" s="1"/>
  <c r="AA280" s="1"/>
  <c r="H264"/>
  <c r="L264" s="1"/>
  <c r="AA264" s="1"/>
  <c r="H248"/>
  <c r="L248" s="1"/>
  <c r="AA248" s="1"/>
  <c r="H232"/>
  <c r="L232" s="1"/>
  <c r="AA232" s="1"/>
  <c r="H367"/>
  <c r="L367" s="1"/>
  <c r="AA367" s="1"/>
  <c r="H283"/>
  <c r="L283" s="1"/>
  <c r="AA283" s="1"/>
  <c r="H219"/>
  <c r="L219" s="1"/>
  <c r="AA219" s="1"/>
  <c r="H389"/>
  <c r="L389" s="1"/>
  <c r="AA389" s="1"/>
  <c r="H349"/>
  <c r="L349" s="1"/>
  <c r="AA349" s="1"/>
  <c r="H193"/>
  <c r="L193" s="1"/>
  <c r="AA193" s="1"/>
  <c r="H381"/>
  <c r="L381" s="1"/>
  <c r="AA381" s="1"/>
  <c r="H275"/>
  <c r="L275" s="1"/>
  <c r="AA275" s="1"/>
  <c r="H237"/>
  <c r="L237" s="1"/>
  <c r="AA237" s="1"/>
  <c r="H265"/>
  <c r="L265" s="1"/>
  <c r="AA265" s="1"/>
  <c r="H271"/>
  <c r="L271" s="1"/>
  <c r="AA271" s="1"/>
  <c r="H279"/>
  <c r="L279" s="1"/>
  <c r="AA279" s="1"/>
  <c r="H285"/>
  <c r="L285" s="1"/>
  <c r="AA285" s="1"/>
  <c r="H377"/>
  <c r="L377" s="1"/>
  <c r="AA377" s="1"/>
  <c r="H243"/>
  <c r="L243" s="1"/>
  <c r="AA243" s="1"/>
  <c r="H225"/>
  <c r="L225" s="1"/>
  <c r="AA225" s="1"/>
  <c r="H261"/>
  <c r="L261" s="1"/>
  <c r="AA261" s="1"/>
  <c r="H189"/>
  <c r="L189" s="1"/>
  <c r="AA189" s="1"/>
  <c r="H205"/>
  <c r="L205" s="1"/>
  <c r="AA205" s="1"/>
  <c r="H269"/>
  <c r="L269" s="1"/>
  <c r="AA269" s="1"/>
  <c r="H9"/>
  <c r="L9" s="1"/>
  <c r="AA9" s="1"/>
  <c r="H17"/>
  <c r="L17" s="1"/>
  <c r="AA17" s="1"/>
  <c r="H23"/>
  <c r="L23" s="1"/>
  <c r="AA23" s="1"/>
  <c r="H29"/>
  <c r="L29" s="1"/>
  <c r="AA29" s="1"/>
  <c r="H39"/>
  <c r="L39" s="1"/>
  <c r="AA39" s="1"/>
  <c r="H47"/>
  <c r="L47" s="1"/>
  <c r="AA47" s="1"/>
  <c r="H57"/>
  <c r="L57" s="1"/>
  <c r="AA57" s="1"/>
  <c r="H187"/>
  <c r="L187" s="1"/>
  <c r="AA187" s="1"/>
  <c r="H213"/>
  <c r="L213" s="1"/>
  <c r="AA213" s="1"/>
  <c r="H253"/>
  <c r="L253" s="1"/>
  <c r="AA253" s="1"/>
  <c r="H277"/>
  <c r="L277" s="1"/>
  <c r="AA277" s="1"/>
  <c r="H55"/>
  <c r="L55" s="1"/>
  <c r="AA55" s="1"/>
  <c r="H301"/>
  <c r="L301" s="1"/>
  <c r="AA301" s="1"/>
  <c r="H307"/>
  <c r="L307" s="1"/>
  <c r="AA307" s="1"/>
  <c r="H323"/>
  <c r="L323" s="1"/>
  <c r="AA323" s="1"/>
  <c r="H335"/>
  <c r="L335" s="1"/>
  <c r="AA335" s="1"/>
  <c r="H317"/>
  <c r="L317" s="1"/>
  <c r="AA317" s="1"/>
  <c r="H333"/>
  <c r="L333" s="1"/>
  <c r="AA333" s="1"/>
  <c r="H127"/>
  <c r="L127" s="1"/>
  <c r="AA127" s="1"/>
  <c r="H135"/>
  <c r="L135" s="1"/>
  <c r="AA135" s="1"/>
  <c r="H143"/>
  <c r="L143" s="1"/>
  <c r="AA143" s="1"/>
  <c r="H151"/>
  <c r="L151" s="1"/>
  <c r="AA151" s="1"/>
  <c r="H159"/>
  <c r="L159" s="1"/>
  <c r="AA159" s="1"/>
  <c r="H167"/>
  <c r="L167" s="1"/>
  <c r="AA167" s="1"/>
  <c r="H295"/>
  <c r="L295" s="1"/>
  <c r="AA295" s="1"/>
  <c r="H231"/>
  <c r="L231" s="1"/>
  <c r="AA231" s="1"/>
  <c r="H263"/>
  <c r="L263" s="1"/>
  <c r="AA263" s="1"/>
  <c r="H371"/>
  <c r="L371" s="1"/>
  <c r="AA371" s="1"/>
  <c r="H174"/>
  <c r="L174" s="1"/>
  <c r="AA174" s="1"/>
  <c r="H76"/>
  <c r="L76" s="1"/>
  <c r="AA76" s="1"/>
  <c r="H84"/>
  <c r="L84" s="1"/>
  <c r="AA84" s="1"/>
  <c r="H92"/>
  <c r="L92" s="1"/>
  <c r="AA92" s="1"/>
  <c r="H100"/>
  <c r="L100" s="1"/>
  <c r="AA100" s="1"/>
  <c r="H108"/>
  <c r="L108" s="1"/>
  <c r="AA108" s="1"/>
  <c r="H116"/>
  <c r="L116" s="1"/>
  <c r="AA116" s="1"/>
  <c r="H353"/>
  <c r="L353" s="1"/>
  <c r="AA353" s="1"/>
  <c r="H359"/>
  <c r="L359" s="1"/>
  <c r="AA359" s="1"/>
  <c r="H363"/>
  <c r="L363" s="1"/>
  <c r="AA363" s="1"/>
  <c r="H365"/>
  <c r="L365" s="1"/>
  <c r="AA365" s="1"/>
  <c r="H369"/>
  <c r="L369" s="1"/>
  <c r="AA369" s="1"/>
  <c r="H373"/>
  <c r="L373" s="1"/>
  <c r="AA373" s="1"/>
  <c r="H375"/>
  <c r="L375" s="1"/>
  <c r="AA375" s="1"/>
  <c r="H379"/>
  <c r="L379" s="1"/>
  <c r="AA379" s="1"/>
  <c r="H383"/>
  <c r="L383" s="1"/>
  <c r="AA383" s="1"/>
  <c r="H387"/>
  <c r="L387" s="1"/>
  <c r="AA387" s="1"/>
  <c r="H391"/>
  <c r="L391" s="1"/>
  <c r="AA391" s="1"/>
  <c r="H395"/>
  <c r="L395" s="1"/>
  <c r="AA395" s="1"/>
  <c r="H397"/>
  <c r="L397" s="1"/>
  <c r="AA397" s="1"/>
  <c r="H24"/>
  <c r="L24" s="1"/>
  <c r="AA24" s="1"/>
  <c r="H40"/>
  <c r="L40" s="1"/>
  <c r="AA40" s="1"/>
  <c r="H56"/>
  <c r="L56" s="1"/>
  <c r="AA56" s="1"/>
  <c r="H178"/>
  <c r="L178" s="1"/>
  <c r="AA178" s="1"/>
  <c r="H194"/>
  <c r="L194" s="1"/>
  <c r="AA194" s="1"/>
  <c r="H210"/>
  <c r="L210" s="1"/>
  <c r="AA210" s="1"/>
  <c r="H226"/>
  <c r="L226" s="1"/>
  <c r="AA226" s="1"/>
  <c r="H242"/>
  <c r="L242" s="1"/>
  <c r="AA242" s="1"/>
  <c r="H254"/>
  <c r="L254" s="1"/>
  <c r="AA254" s="1"/>
  <c r="H270"/>
  <c r="L270" s="1"/>
  <c r="AA270" s="1"/>
  <c r="H286"/>
  <c r="L286" s="1"/>
  <c r="AA286" s="1"/>
  <c r="H302"/>
  <c r="L302" s="1"/>
  <c r="AA302" s="1"/>
  <c r="H318"/>
  <c r="L318" s="1"/>
  <c r="AA318" s="1"/>
  <c r="H334"/>
  <c r="L334" s="1"/>
  <c r="AA334" s="1"/>
  <c r="H356"/>
  <c r="L356" s="1"/>
  <c r="AA356" s="1"/>
  <c r="H372"/>
  <c r="L372" s="1"/>
  <c r="AA372" s="1"/>
  <c r="H388"/>
  <c r="L388" s="1"/>
  <c r="AA388" s="1"/>
  <c r="H6"/>
  <c r="L6" s="1"/>
  <c r="AA6" s="1"/>
  <c r="H18"/>
  <c r="L18" s="1"/>
  <c r="AA18" s="1"/>
  <c r="H26"/>
  <c r="L26" s="1"/>
  <c r="AA26" s="1"/>
  <c r="H34"/>
  <c r="L34" s="1"/>
  <c r="AA34" s="1"/>
  <c r="H42"/>
  <c r="L42" s="1"/>
  <c r="AA42" s="1"/>
  <c r="H50"/>
  <c r="L50" s="1"/>
  <c r="AA50" s="1"/>
  <c r="H58"/>
  <c r="L58" s="1"/>
  <c r="AA58" s="1"/>
  <c r="H66"/>
  <c r="L66" s="1"/>
  <c r="AA66" s="1"/>
  <c r="H180"/>
  <c r="L180" s="1"/>
  <c r="AA180" s="1"/>
  <c r="H188"/>
  <c r="L188" s="1"/>
  <c r="AA188" s="1"/>
  <c r="H196"/>
  <c r="L196" s="1"/>
  <c r="AA196" s="1"/>
  <c r="H204"/>
  <c r="L204" s="1"/>
  <c r="AA204" s="1"/>
  <c r="H212"/>
  <c r="L212" s="1"/>
  <c r="AA212" s="1"/>
  <c r="H220"/>
  <c r="L220" s="1"/>
  <c r="AA220" s="1"/>
  <c r="H228"/>
  <c r="L228" s="1"/>
  <c r="AA228" s="1"/>
  <c r="H351"/>
  <c r="L351" s="1"/>
  <c r="AA351" s="1"/>
  <c r="H293"/>
  <c r="L293" s="1"/>
  <c r="AA293" s="1"/>
  <c r="H14"/>
  <c r="L14" s="1"/>
  <c r="AA14" s="1"/>
  <c r="H33"/>
  <c r="L33" s="1"/>
  <c r="AA33" s="1"/>
  <c r="H45"/>
  <c r="L45" s="1"/>
  <c r="AA45" s="1"/>
  <c r="H61"/>
  <c r="L61" s="1"/>
  <c r="AA61" s="1"/>
  <c r="H69"/>
  <c r="L69" s="1"/>
  <c r="AA69" s="1"/>
  <c r="H311"/>
  <c r="L311" s="1"/>
  <c r="AA311" s="1"/>
  <c r="H319"/>
  <c r="L319" s="1"/>
  <c r="AA319" s="1"/>
  <c r="H343"/>
  <c r="L343" s="1"/>
  <c r="AA343" s="1"/>
  <c r="H247"/>
  <c r="L247" s="1"/>
  <c r="AA247" s="1"/>
  <c r="H393"/>
  <c r="L393" s="1"/>
  <c r="AA393" s="1"/>
  <c r="H201"/>
  <c r="L201" s="1"/>
  <c r="AA201" s="1"/>
  <c r="H357"/>
  <c r="L357" s="1"/>
  <c r="AA357" s="1"/>
  <c r="H179"/>
  <c r="L179" s="1"/>
  <c r="AA179" s="1"/>
  <c r="H185"/>
  <c r="L185" s="1"/>
  <c r="AA185" s="1"/>
  <c r="H195"/>
  <c r="L195" s="1"/>
  <c r="AA195" s="1"/>
  <c r="H203"/>
  <c r="L203" s="1"/>
  <c r="AA203" s="1"/>
  <c r="H211"/>
  <c r="L211" s="1"/>
  <c r="AA211" s="1"/>
  <c r="H235"/>
  <c r="L235" s="1"/>
  <c r="AA235" s="1"/>
  <c r="H251"/>
  <c r="L251" s="1"/>
  <c r="AA251" s="1"/>
  <c r="H267"/>
  <c r="L267" s="1"/>
  <c r="AA267" s="1"/>
  <c r="H70"/>
  <c r="L70" s="1"/>
  <c r="AA70" s="1"/>
  <c r="H78"/>
  <c r="L78" s="1"/>
  <c r="AA78" s="1"/>
  <c r="H86"/>
  <c r="L86" s="1"/>
  <c r="AA86" s="1"/>
  <c r="H94"/>
  <c r="L94" s="1"/>
  <c r="AA94" s="1"/>
  <c r="H102"/>
  <c r="L102" s="1"/>
  <c r="AA102" s="1"/>
  <c r="H110"/>
  <c r="L110" s="1"/>
  <c r="AA110" s="1"/>
  <c r="H118"/>
  <c r="L118" s="1"/>
  <c r="AA118" s="1"/>
  <c r="H347"/>
  <c r="L347" s="1"/>
  <c r="AA347" s="1"/>
  <c r="H183"/>
  <c r="L183" s="1"/>
  <c r="AA183" s="1"/>
  <c r="H199"/>
  <c r="L199" s="1"/>
  <c r="AA199" s="1"/>
  <c r="H215"/>
  <c r="L215" s="1"/>
  <c r="AA215" s="1"/>
  <c r="H223"/>
  <c r="L223" s="1"/>
  <c r="AA223" s="1"/>
  <c r="H233"/>
  <c r="L233" s="1"/>
  <c r="AA233" s="1"/>
  <c r="H245"/>
  <c r="L245" s="1"/>
  <c r="AA245" s="1"/>
  <c r="H255"/>
  <c r="L255" s="1"/>
  <c r="AA255" s="1"/>
  <c r="H221"/>
  <c r="L221" s="1"/>
  <c r="AA221" s="1"/>
  <c r="H236"/>
  <c r="L236" s="1"/>
  <c r="AA236" s="1"/>
  <c r="H252"/>
  <c r="L252" s="1"/>
  <c r="AA252" s="1"/>
  <c r="H268"/>
  <c r="L268" s="1"/>
  <c r="AA268" s="1"/>
  <c r="H284"/>
  <c r="L284" s="1"/>
  <c r="AA284" s="1"/>
  <c r="H300"/>
  <c r="L300" s="1"/>
  <c r="AA300" s="1"/>
  <c r="H316"/>
  <c r="L316" s="1"/>
  <c r="AA316" s="1"/>
  <c r="H332"/>
  <c r="L332" s="1"/>
  <c r="AA332" s="1"/>
  <c r="H350"/>
  <c r="L350" s="1"/>
  <c r="AA350" s="1"/>
  <c r="H366"/>
  <c r="L366" s="1"/>
  <c r="AA366" s="1"/>
  <c r="H382"/>
  <c r="L382" s="1"/>
  <c r="AA382" s="1"/>
  <c r="H398"/>
  <c r="L398" s="1"/>
  <c r="AA398" s="1"/>
  <c r="H297"/>
  <c r="L297" s="1"/>
  <c r="AA297" s="1"/>
  <c r="H313"/>
  <c r="L313" s="1"/>
  <c r="AA313" s="1"/>
  <c r="H329"/>
  <c r="L329" s="1"/>
  <c r="AA329" s="1"/>
  <c r="H345"/>
  <c r="L345" s="1"/>
  <c r="AA345" s="1"/>
  <c r="H73"/>
  <c r="L73" s="1"/>
  <c r="AA73" s="1"/>
  <c r="H77"/>
  <c r="L77" s="1"/>
  <c r="AA77" s="1"/>
  <c r="H81"/>
  <c r="L81" s="1"/>
  <c r="AA81" s="1"/>
  <c r="H85"/>
  <c r="L85" s="1"/>
  <c r="AA85" s="1"/>
  <c r="H89"/>
  <c r="L89" s="1"/>
  <c r="AA89" s="1"/>
  <c r="H93"/>
  <c r="L93" s="1"/>
  <c r="AA93" s="1"/>
  <c r="H97"/>
  <c r="L97" s="1"/>
  <c r="AA97" s="1"/>
  <c r="H101"/>
  <c r="L101" s="1"/>
  <c r="AA101" s="1"/>
  <c r="H105"/>
  <c r="L105" s="1"/>
  <c r="AA105" s="1"/>
  <c r="H109"/>
  <c r="L109" s="1"/>
  <c r="AA109" s="1"/>
  <c r="H113"/>
  <c r="L113" s="1"/>
  <c r="AA113" s="1"/>
  <c r="H117"/>
  <c r="L117" s="1"/>
  <c r="AA117" s="1"/>
  <c r="H121"/>
  <c r="L121" s="1"/>
  <c r="AA121" s="1"/>
  <c r="H125"/>
  <c r="L125" s="1"/>
  <c r="AA125" s="1"/>
  <c r="H129"/>
  <c r="L129" s="1"/>
  <c r="AA129" s="1"/>
  <c r="H133"/>
  <c r="L133" s="1"/>
  <c r="AA133" s="1"/>
  <c r="H137"/>
  <c r="L137" s="1"/>
  <c r="AA137" s="1"/>
  <c r="H141"/>
  <c r="L141" s="1"/>
  <c r="AA141" s="1"/>
  <c r="H145"/>
  <c r="L145" s="1"/>
  <c r="AA145" s="1"/>
  <c r="H149"/>
  <c r="L149" s="1"/>
  <c r="AA149" s="1"/>
  <c r="H153"/>
  <c r="L153" s="1"/>
  <c r="AA153" s="1"/>
  <c r="H157"/>
  <c r="L157" s="1"/>
  <c r="AA157" s="1"/>
  <c r="H161"/>
  <c r="L161" s="1"/>
  <c r="AA161" s="1"/>
  <c r="H165"/>
  <c r="L165" s="1"/>
  <c r="AA165" s="1"/>
  <c r="H169"/>
  <c r="L169" s="1"/>
  <c r="AA169" s="1"/>
  <c r="H173"/>
  <c r="L173" s="1"/>
  <c r="AA173" s="1"/>
  <c r="H15"/>
  <c r="L15" s="1"/>
  <c r="AA15" s="1"/>
  <c r="H31"/>
  <c r="L31" s="1"/>
  <c r="AA31" s="1"/>
  <c r="H63"/>
  <c r="L63" s="1"/>
  <c r="AA63" s="1"/>
  <c r="H13"/>
  <c r="L13" s="1"/>
  <c r="AA13" s="1"/>
  <c r="H71"/>
  <c r="L71" s="1"/>
  <c r="AA71" s="1"/>
  <c r="H75"/>
  <c r="L75" s="1"/>
  <c r="AA75" s="1"/>
  <c r="H79"/>
  <c r="L79" s="1"/>
  <c r="AA79" s="1"/>
  <c r="H83"/>
  <c r="L83" s="1"/>
  <c r="AA83" s="1"/>
  <c r="H87"/>
  <c r="L87" s="1"/>
  <c r="AA87" s="1"/>
  <c r="H91"/>
  <c r="L91" s="1"/>
  <c r="AA91" s="1"/>
  <c r="H95"/>
  <c r="L95" s="1"/>
  <c r="AA95" s="1"/>
  <c r="H99"/>
  <c r="L99" s="1"/>
  <c r="AA99" s="1"/>
  <c r="H103"/>
  <c r="L103" s="1"/>
  <c r="AA103" s="1"/>
  <c r="H107"/>
  <c r="L107" s="1"/>
  <c r="AA107" s="1"/>
  <c r="H111"/>
  <c r="L111" s="1"/>
  <c r="AA111" s="1"/>
  <c r="H115"/>
  <c r="L115" s="1"/>
  <c r="AA115" s="1"/>
  <c r="H119"/>
  <c r="L119" s="1"/>
  <c r="AA119" s="1"/>
  <c r="H123"/>
  <c r="L123" s="1"/>
  <c r="AA123" s="1"/>
  <c r="H11"/>
  <c r="L11" s="1"/>
  <c r="AA11" s="1"/>
  <c r="H27"/>
  <c r="L27" s="1"/>
  <c r="AA27" s="1"/>
  <c r="H43"/>
  <c r="L43" s="1"/>
  <c r="AA43" s="1"/>
  <c r="H59"/>
  <c r="L59" s="1"/>
  <c r="AA59" s="1"/>
  <c r="H25"/>
  <c r="L25" s="1"/>
  <c r="AA25" s="1"/>
  <c r="H41"/>
  <c r="L41" s="1"/>
  <c r="AA41" s="1"/>
  <c r="H348"/>
  <c r="L348" s="1"/>
  <c r="AA348" s="1"/>
  <c r="H126"/>
  <c r="L126" s="1"/>
  <c r="AA126" s="1"/>
  <c r="H130"/>
  <c r="L130" s="1"/>
  <c r="AA130" s="1"/>
  <c r="H134"/>
  <c r="L134" s="1"/>
  <c r="AA134" s="1"/>
  <c r="H138"/>
  <c r="L138" s="1"/>
  <c r="AA138" s="1"/>
  <c r="H142"/>
  <c r="L142" s="1"/>
  <c r="AA142" s="1"/>
  <c r="H146"/>
  <c r="L146" s="1"/>
  <c r="AA146" s="1"/>
  <c r="H150"/>
  <c r="L150" s="1"/>
  <c r="AA150" s="1"/>
  <c r="H154"/>
  <c r="L154" s="1"/>
  <c r="AA154" s="1"/>
  <c r="H158"/>
  <c r="L158" s="1"/>
  <c r="AA158" s="1"/>
  <c r="H162"/>
  <c r="L162" s="1"/>
  <c r="AA162" s="1"/>
  <c r="H244"/>
  <c r="L244" s="1"/>
  <c r="AA244" s="1"/>
  <c r="H260"/>
  <c r="L260" s="1"/>
  <c r="AA260" s="1"/>
  <c r="H276"/>
  <c r="L276" s="1"/>
  <c r="AA276" s="1"/>
  <c r="H292"/>
  <c r="L292" s="1"/>
  <c r="AA292" s="1"/>
  <c r="H308"/>
  <c r="L308" s="1"/>
  <c r="AA308" s="1"/>
  <c r="H324"/>
  <c r="L324" s="1"/>
  <c r="AA324" s="1"/>
  <c r="H340"/>
  <c r="L340" s="1"/>
  <c r="AA340" s="1"/>
  <c r="H358"/>
  <c r="L358" s="1"/>
  <c r="AA358" s="1"/>
  <c r="H374"/>
  <c r="L374" s="1"/>
  <c r="AA374" s="1"/>
  <c r="H390"/>
  <c r="L390" s="1"/>
  <c r="AA390" s="1"/>
  <c r="H20"/>
  <c r="L20" s="1"/>
  <c r="AA20" s="1"/>
  <c r="H36"/>
  <c r="L36" s="1"/>
  <c r="AA36" s="1"/>
  <c r="H48"/>
  <c r="L48" s="1"/>
  <c r="AA48" s="1"/>
  <c r="H68"/>
  <c r="L68" s="1"/>
  <c r="AA68" s="1"/>
  <c r="H190"/>
  <c r="L190" s="1"/>
  <c r="AA190" s="1"/>
  <c r="H206"/>
  <c r="L206" s="1"/>
  <c r="AA206" s="1"/>
  <c r="H222"/>
  <c r="L222" s="1"/>
  <c r="AA222" s="1"/>
  <c r="H238"/>
  <c r="L238" s="1"/>
  <c r="AA238" s="1"/>
  <c r="H258"/>
  <c r="L258" s="1"/>
  <c r="AA258" s="1"/>
  <c r="H274"/>
  <c r="L274" s="1"/>
  <c r="AA274" s="1"/>
  <c r="H290"/>
  <c r="L290" s="1"/>
  <c r="AA290" s="1"/>
  <c r="H306"/>
  <c r="L306" s="1"/>
  <c r="AA306" s="1"/>
  <c r="H322"/>
  <c r="L322" s="1"/>
  <c r="AA322" s="1"/>
  <c r="H338"/>
  <c r="L338" s="1"/>
  <c r="AA338" s="1"/>
  <c r="H352"/>
  <c r="L352" s="1"/>
  <c r="AA352" s="1"/>
  <c r="H368"/>
  <c r="L368" s="1"/>
  <c r="AA368" s="1"/>
  <c r="H384"/>
  <c r="L384" s="1"/>
  <c r="AA384" s="1"/>
  <c r="H5"/>
  <c r="L5" s="1"/>
  <c r="AA5" s="1"/>
  <c r="H299"/>
  <c r="L299" s="1"/>
  <c r="AA299" s="1"/>
  <c r="H331"/>
  <c r="L331" s="1"/>
  <c r="AA331" s="1"/>
  <c r="H303"/>
  <c r="L303" s="1"/>
  <c r="AA303" s="1"/>
  <c r="H339"/>
  <c r="L339" s="1"/>
  <c r="AA339" s="1"/>
  <c r="H305"/>
  <c r="L305" s="1"/>
  <c r="AA305" s="1"/>
  <c r="H321"/>
  <c r="L321" s="1"/>
  <c r="AA321" s="1"/>
  <c r="H337"/>
  <c r="L337" s="1"/>
  <c r="AA337" s="1"/>
  <c r="H166"/>
  <c r="L166" s="1"/>
  <c r="AA166" s="1"/>
  <c r="H170"/>
  <c r="L170" s="1"/>
  <c r="AA170" s="1"/>
  <c r="H22"/>
  <c r="L22" s="1"/>
  <c r="AA22" s="1"/>
  <c r="H30"/>
  <c r="L30" s="1"/>
  <c r="AA30" s="1"/>
  <c r="H38"/>
  <c r="L38" s="1"/>
  <c r="AA38" s="1"/>
  <c r="H46"/>
  <c r="L46" s="1"/>
  <c r="AA46" s="1"/>
  <c r="H54"/>
  <c r="L54" s="1"/>
  <c r="AA54" s="1"/>
  <c r="H62"/>
  <c r="L62" s="1"/>
  <c r="AA62" s="1"/>
  <c r="H186"/>
  <c r="L186" s="1"/>
  <c r="AA186" s="1"/>
  <c r="H202"/>
  <c r="L202" s="1"/>
  <c r="AA202" s="1"/>
  <c r="H218"/>
  <c r="L218" s="1"/>
  <c r="AA218" s="1"/>
  <c r="H234"/>
  <c r="L234" s="1"/>
  <c r="AA234" s="1"/>
  <c r="H250"/>
  <c r="L250" s="1"/>
  <c r="AA250" s="1"/>
  <c r="H266"/>
  <c r="L266" s="1"/>
  <c r="AA266" s="1"/>
  <c r="H282"/>
  <c r="L282" s="1"/>
  <c r="AA282" s="1"/>
  <c r="H298"/>
  <c r="L298" s="1"/>
  <c r="AA298" s="1"/>
  <c r="H314"/>
  <c r="L314" s="1"/>
  <c r="AA314" s="1"/>
  <c r="H330"/>
  <c r="L330" s="1"/>
  <c r="AA330" s="1"/>
  <c r="H342"/>
  <c r="L342" s="1"/>
  <c r="AA342" s="1"/>
  <c r="H354"/>
  <c r="L354" s="1"/>
  <c r="AA354" s="1"/>
  <c r="H362"/>
  <c r="L362" s="1"/>
  <c r="AA362" s="1"/>
  <c r="H370"/>
  <c r="L370" s="1"/>
  <c r="AA370" s="1"/>
  <c r="H378"/>
  <c r="L378" s="1"/>
  <c r="AA378" s="1"/>
  <c r="H386"/>
  <c r="L386" s="1"/>
  <c r="AA386" s="1"/>
  <c r="H394"/>
  <c r="L394" s="1"/>
  <c r="AA394" s="1"/>
  <c r="H124"/>
  <c r="L124" s="1"/>
  <c r="AA124" s="1"/>
  <c r="H128"/>
  <c r="L128" s="1"/>
  <c r="AA128" s="1"/>
  <c r="H132"/>
  <c r="L132" s="1"/>
  <c r="AA132" s="1"/>
  <c r="H136"/>
  <c r="L136" s="1"/>
  <c r="AA136" s="1"/>
  <c r="H140"/>
  <c r="L140" s="1"/>
  <c r="AA140" s="1"/>
  <c r="H144"/>
  <c r="L144" s="1"/>
  <c r="AA144" s="1"/>
  <c r="H148"/>
  <c r="L148" s="1"/>
  <c r="AA148" s="1"/>
  <c r="H152"/>
  <c r="L152" s="1"/>
  <c r="AA152" s="1"/>
  <c r="H156"/>
  <c r="L156" s="1"/>
  <c r="AA156" s="1"/>
  <c r="H160"/>
  <c r="L160" s="1"/>
  <c r="AA160" s="1"/>
  <c r="H164"/>
  <c r="L164" s="1"/>
  <c r="AA164" s="1"/>
  <c r="H168"/>
  <c r="L168" s="1"/>
  <c r="AA168" s="1"/>
  <c r="H172"/>
  <c r="L172" s="1"/>
  <c r="AA172" s="1"/>
  <c r="H12"/>
  <c r="L12" s="1"/>
  <c r="AA12" s="1"/>
  <c r="H28"/>
  <c r="L28" s="1"/>
  <c r="AA28" s="1"/>
  <c r="H44"/>
  <c r="L44" s="1"/>
  <c r="AA44" s="1"/>
  <c r="H52"/>
  <c r="L52" s="1"/>
  <c r="AA52" s="1"/>
  <c r="H60"/>
  <c r="L60" s="1"/>
  <c r="AA60" s="1"/>
  <c r="H176"/>
  <c r="L176" s="1"/>
  <c r="AA176" s="1"/>
  <c r="H184"/>
  <c r="L184" s="1"/>
  <c r="AA184" s="1"/>
  <c r="H4"/>
  <c r="L4" s="1"/>
  <c r="AA4" s="1"/>
  <c r="H16"/>
  <c r="L16" s="1"/>
  <c r="AA16" s="1"/>
  <c r="H67"/>
  <c r="L67" s="1"/>
  <c r="AA67" s="1"/>
  <c r="H35"/>
  <c r="L35" s="1"/>
  <c r="AA35" s="1"/>
  <c r="H392"/>
  <c r="L392" s="1"/>
  <c r="AA392" s="1"/>
  <c r="H376"/>
  <c r="L376" s="1"/>
  <c r="AA376" s="1"/>
  <c r="H360"/>
  <c r="L360" s="1"/>
  <c r="AA360" s="1"/>
  <c r="H346"/>
  <c r="L346" s="1"/>
  <c r="AA346" s="1"/>
  <c r="H246"/>
  <c r="L246" s="1"/>
  <c r="AA246" s="1"/>
  <c r="H230"/>
  <c r="L230" s="1"/>
  <c r="AA230" s="1"/>
  <c r="H214"/>
  <c r="L214" s="1"/>
  <c r="AA214" s="1"/>
  <c r="H198"/>
  <c r="L198" s="1"/>
  <c r="AA198" s="1"/>
  <c r="H182"/>
  <c r="L182" s="1"/>
  <c r="AA182" s="1"/>
  <c r="H344"/>
  <c r="L344" s="1"/>
  <c r="AA344" s="1"/>
  <c r="H336"/>
  <c r="L336" s="1"/>
  <c r="AA336" s="1"/>
  <c r="H328"/>
  <c r="L328" s="1"/>
  <c r="AA328" s="1"/>
  <c r="H320"/>
  <c r="L320" s="1"/>
  <c r="AA320" s="1"/>
  <c r="H304"/>
  <c r="L304" s="1"/>
  <c r="AA304" s="1"/>
  <c r="H288"/>
  <c r="L288" s="1"/>
  <c r="AA288" s="1"/>
  <c r="H272"/>
  <c r="L272" s="1"/>
  <c r="AA272" s="1"/>
  <c r="H256"/>
  <c r="L256" s="1"/>
  <c r="AA256" s="1"/>
  <c r="H240"/>
  <c r="L240" s="1"/>
  <c r="AA240" s="1"/>
  <c r="H224"/>
  <c r="L224" s="1"/>
  <c r="AA224" s="1"/>
  <c r="H208"/>
  <c r="L208" s="1"/>
  <c r="AA208" s="1"/>
  <c r="H192"/>
  <c r="L192" s="1"/>
  <c r="AA192" s="1"/>
  <c r="H10"/>
  <c r="L10" s="1"/>
  <c r="AA10" s="1"/>
  <c r="H326"/>
  <c r="L326" s="1"/>
  <c r="AA326" s="1"/>
  <c r="H310"/>
  <c r="L310" s="1"/>
  <c r="AA310" s="1"/>
  <c r="H294"/>
  <c r="L294" s="1"/>
  <c r="AA294" s="1"/>
  <c r="H278"/>
  <c r="L278" s="1"/>
  <c r="AA278" s="1"/>
  <c r="H262"/>
  <c r="L262" s="1"/>
  <c r="AA262" s="1"/>
  <c r="H64"/>
  <c r="L64" s="1"/>
  <c r="AA64" s="1"/>
  <c r="H32"/>
  <c r="L32" s="1"/>
  <c r="AA32" s="1"/>
  <c r="H120"/>
  <c r="L120" s="1"/>
  <c r="AA120" s="1"/>
  <c r="H112"/>
  <c r="L112" s="1"/>
  <c r="AA112" s="1"/>
  <c r="H104"/>
  <c r="L104" s="1"/>
  <c r="AA104" s="1"/>
  <c r="H96"/>
  <c r="L96" s="1"/>
  <c r="AA96" s="1"/>
  <c r="H88"/>
  <c r="L88" s="1"/>
  <c r="AA88" s="1"/>
  <c r="H80"/>
  <c r="L80" s="1"/>
  <c r="AA80" s="1"/>
  <c r="H72"/>
  <c r="L72" s="1"/>
  <c r="AA72" s="1"/>
  <c r="H287"/>
  <c r="L287" s="1"/>
  <c r="AA287" s="1"/>
  <c r="H171"/>
  <c r="L171" s="1"/>
  <c r="AA171" s="1"/>
  <c r="H163"/>
  <c r="L163" s="1"/>
  <c r="AA163" s="1"/>
  <c r="H155"/>
  <c r="L155" s="1"/>
  <c r="AA155" s="1"/>
  <c r="H147"/>
  <c r="L147" s="1"/>
  <c r="AA147" s="1"/>
  <c r="H139"/>
  <c r="L139" s="1"/>
  <c r="AA139" s="1"/>
  <c r="H131"/>
  <c r="L131" s="1"/>
  <c r="AA131" s="1"/>
  <c r="H341"/>
  <c r="L341" s="1"/>
  <c r="AA341" s="1"/>
  <c r="H325"/>
  <c r="L325" s="1"/>
  <c r="AA325" s="1"/>
  <c r="H327"/>
  <c r="L327" s="1"/>
  <c r="AA327" s="1"/>
  <c r="H309"/>
  <c r="L309" s="1"/>
  <c r="AA309" s="1"/>
  <c r="H273"/>
  <c r="L273" s="1"/>
  <c r="AA273" s="1"/>
  <c r="H241"/>
  <c r="L241" s="1"/>
  <c r="AA241" s="1"/>
  <c r="H209"/>
  <c r="L209" s="1"/>
  <c r="AA209" s="1"/>
  <c r="H53"/>
  <c r="L53" s="1"/>
  <c r="AA53" s="1"/>
  <c r="H21"/>
  <c r="L21" s="1"/>
  <c r="AA21" s="1"/>
  <c r="H7"/>
  <c r="L7" s="1"/>
  <c r="AA7" s="1"/>
  <c r="H197"/>
  <c r="L197" s="1"/>
  <c r="AA197" s="1"/>
  <c r="H385"/>
  <c r="L385" s="1"/>
  <c r="AA385" s="1"/>
  <c r="H281"/>
  <c r="L281" s="1"/>
  <c r="AA281" s="1"/>
  <c r="H249"/>
  <c r="L249" s="1"/>
  <c r="AA249" s="1"/>
  <c r="H239"/>
  <c r="L239" s="1"/>
  <c r="AA239" s="1"/>
  <c r="H217"/>
  <c r="L217" s="1"/>
  <c r="AA217" s="1"/>
  <c r="H207"/>
  <c r="L207" s="1"/>
  <c r="AA207" s="1"/>
  <c r="H191"/>
  <c r="L191" s="1"/>
  <c r="AA191" s="1"/>
  <c r="H175"/>
  <c r="L175" s="1"/>
  <c r="AA175" s="1"/>
  <c r="H122"/>
  <c r="L122" s="1"/>
  <c r="AA122" s="1"/>
  <c r="H114"/>
  <c r="L114" s="1"/>
  <c r="AA114" s="1"/>
  <c r="H106"/>
  <c r="L106" s="1"/>
  <c r="AA106" s="1"/>
  <c r="H98"/>
  <c r="L98" s="1"/>
  <c r="AA98" s="1"/>
  <c r="H90"/>
  <c r="L90" s="1"/>
  <c r="AA90" s="1"/>
  <c r="H82"/>
  <c r="L82" s="1"/>
  <c r="AA82" s="1"/>
  <c r="H74"/>
  <c r="L74" s="1"/>
  <c r="AA74" s="1"/>
  <c r="H291"/>
  <c r="L291" s="1"/>
  <c r="AA291" s="1"/>
  <c r="H259"/>
  <c r="L259" s="1"/>
  <c r="AA259" s="1"/>
  <c r="H227"/>
  <c r="L227" s="1"/>
  <c r="AA227" s="1"/>
  <c r="H181"/>
  <c r="L181" s="1"/>
  <c r="AA181" s="1"/>
  <c r="H399"/>
  <c r="L399" s="1"/>
  <c r="AA399" s="1"/>
  <c r="H216"/>
  <c r="L216" s="1"/>
  <c r="AA216" s="1"/>
  <c r="Z181" l="1"/>
  <c r="M181"/>
  <c r="Z74"/>
  <c r="M74"/>
  <c r="Z106"/>
  <c r="M106"/>
  <c r="Z191"/>
  <c r="M191"/>
  <c r="Z249"/>
  <c r="M249"/>
  <c r="Z7"/>
  <c r="M7"/>
  <c r="Z241"/>
  <c r="M241"/>
  <c r="Z325"/>
  <c r="M325"/>
  <c r="Z147"/>
  <c r="M147"/>
  <c r="Z287"/>
  <c r="M287"/>
  <c r="Z96"/>
  <c r="M96"/>
  <c r="Z32"/>
  <c r="M32"/>
  <c r="Z326"/>
  <c r="M326"/>
  <c r="Z224"/>
  <c r="M224"/>
  <c r="Z288"/>
  <c r="M288"/>
  <c r="Z336"/>
  <c r="M336"/>
  <c r="Z214"/>
  <c r="M214"/>
  <c r="Z360"/>
  <c r="M360"/>
  <c r="Z4"/>
  <c r="M4"/>
  <c r="Z52"/>
  <c r="M52"/>
  <c r="Z172"/>
  <c r="M172"/>
  <c r="Z156"/>
  <c r="M156"/>
  <c r="Z148"/>
  <c r="M148"/>
  <c r="Z124"/>
  <c r="M124"/>
  <c r="Z386"/>
  <c r="M386"/>
  <c r="Z354"/>
  <c r="M354"/>
  <c r="Z298"/>
  <c r="M298"/>
  <c r="Z234"/>
  <c r="M234"/>
  <c r="Z62"/>
  <c r="M62"/>
  <c r="Z46"/>
  <c r="M46"/>
  <c r="Z337"/>
  <c r="M337"/>
  <c r="Z305"/>
  <c r="M305"/>
  <c r="Z299"/>
  <c r="M299"/>
  <c r="Z322"/>
  <c r="M322"/>
  <c r="Z258"/>
  <c r="M258"/>
  <c r="Z190"/>
  <c r="M190"/>
  <c r="Z48"/>
  <c r="M48"/>
  <c r="Z374"/>
  <c r="M374"/>
  <c r="Z340"/>
  <c r="M340"/>
  <c r="Z308"/>
  <c r="M308"/>
  <c r="Z276"/>
  <c r="M276"/>
  <c r="Z244"/>
  <c r="M244"/>
  <c r="Z158"/>
  <c r="M158"/>
  <c r="Z150"/>
  <c r="M150"/>
  <c r="Z142"/>
  <c r="M142"/>
  <c r="Z134"/>
  <c r="M134"/>
  <c r="Z126"/>
  <c r="M126"/>
  <c r="Z41"/>
  <c r="M41"/>
  <c r="Z59"/>
  <c r="M59"/>
  <c r="Z27"/>
  <c r="M27"/>
  <c r="Z216"/>
  <c r="M216"/>
  <c r="Z259"/>
  <c r="M259"/>
  <c r="Z90"/>
  <c r="M90"/>
  <c r="Z122"/>
  <c r="M122"/>
  <c r="Z217"/>
  <c r="M217"/>
  <c r="Z385"/>
  <c r="M385"/>
  <c r="Z53"/>
  <c r="M53"/>
  <c r="Z309"/>
  <c r="M309"/>
  <c r="Z131"/>
  <c r="M131"/>
  <c r="Z163"/>
  <c r="M163"/>
  <c r="Z80"/>
  <c r="M80"/>
  <c r="Z112"/>
  <c r="M112"/>
  <c r="Z262"/>
  <c r="M262"/>
  <c r="Z294"/>
  <c r="M294"/>
  <c r="Z192"/>
  <c r="M192"/>
  <c r="Z256"/>
  <c r="M256"/>
  <c r="Z320"/>
  <c r="M320"/>
  <c r="Z182"/>
  <c r="M182"/>
  <c r="Z246"/>
  <c r="M246"/>
  <c r="Z392"/>
  <c r="M392"/>
  <c r="Z67"/>
  <c r="M67"/>
  <c r="Z176"/>
  <c r="M176"/>
  <c r="Z28"/>
  <c r="M28"/>
  <c r="Z164"/>
  <c r="M164"/>
  <c r="Z140"/>
  <c r="M140"/>
  <c r="Z132"/>
  <c r="M132"/>
  <c r="Z370"/>
  <c r="M370"/>
  <c r="Z330"/>
  <c r="M330"/>
  <c r="Z266"/>
  <c r="M266"/>
  <c r="Z202"/>
  <c r="M202"/>
  <c r="Z30"/>
  <c r="M30"/>
  <c r="Z170"/>
  <c r="M170"/>
  <c r="Z303"/>
  <c r="M303"/>
  <c r="Z384"/>
  <c r="M384"/>
  <c r="Z352"/>
  <c r="M352"/>
  <c r="Z290"/>
  <c r="M290"/>
  <c r="Z222"/>
  <c r="M222"/>
  <c r="Z20"/>
  <c r="M20"/>
  <c r="Z123"/>
  <c r="M123"/>
  <c r="Z107"/>
  <c r="M107"/>
  <c r="Z99"/>
  <c r="M99"/>
  <c r="Z83"/>
  <c r="M83"/>
  <c r="Z31"/>
  <c r="M31"/>
  <c r="Z165"/>
  <c r="M165"/>
  <c r="Z149"/>
  <c r="M149"/>
  <c r="Z133"/>
  <c r="M133"/>
  <c r="Z117"/>
  <c r="M117"/>
  <c r="Z101"/>
  <c r="M101"/>
  <c r="Z85"/>
  <c r="M85"/>
  <c r="Z313"/>
  <c r="M313"/>
  <c r="Z366"/>
  <c r="M366"/>
  <c r="Z300"/>
  <c r="M300"/>
  <c r="Z236"/>
  <c r="M236"/>
  <c r="Z233"/>
  <c r="M233"/>
  <c r="Z183"/>
  <c r="M183"/>
  <c r="Z102"/>
  <c r="M102"/>
  <c r="Z70"/>
  <c r="M70"/>
  <c r="Z211"/>
  <c r="M211"/>
  <c r="Z179"/>
  <c r="M179"/>
  <c r="Z247"/>
  <c r="M247"/>
  <c r="Z69"/>
  <c r="M69"/>
  <c r="Z45"/>
  <c r="M45"/>
  <c r="Z351"/>
  <c r="M351"/>
  <c r="Z188"/>
  <c r="M188"/>
  <c r="Z50"/>
  <c r="M50"/>
  <c r="Z18"/>
  <c r="M18"/>
  <c r="Z356"/>
  <c r="M356"/>
  <c r="Z286"/>
  <c r="M286"/>
  <c r="Z226"/>
  <c r="M226"/>
  <c r="Z24"/>
  <c r="M24"/>
  <c r="Z387"/>
  <c r="M387"/>
  <c r="Z373"/>
  <c r="M373"/>
  <c r="Z359"/>
  <c r="M359"/>
  <c r="Z100"/>
  <c r="M100"/>
  <c r="Z174"/>
  <c r="M174"/>
  <c r="Z295"/>
  <c r="M295"/>
  <c r="Z143"/>
  <c r="M143"/>
  <c r="Z317"/>
  <c r="M317"/>
  <c r="Z301"/>
  <c r="M301"/>
  <c r="Z213"/>
  <c r="M213"/>
  <c r="Z39"/>
  <c r="M39"/>
  <c r="Z9"/>
  <c r="M9"/>
  <c r="Z261"/>
  <c r="M261"/>
  <c r="Z285"/>
  <c r="M285"/>
  <c r="Z237"/>
  <c r="M237"/>
  <c r="Z349"/>
  <c r="M349"/>
  <c r="Z248"/>
  <c r="M248"/>
  <c r="Z312"/>
  <c r="M312"/>
  <c r="Z380"/>
  <c r="M380"/>
  <c r="Z257"/>
  <c r="M257"/>
  <c r="Z177"/>
  <c r="M177"/>
  <c r="Z49"/>
  <c r="M49"/>
  <c r="Z315"/>
  <c r="M315"/>
  <c r="Z361"/>
  <c r="M361"/>
  <c r="Z19"/>
  <c r="M19"/>
  <c r="Z8"/>
  <c r="M8"/>
  <c r="Z399"/>
  <c r="M399"/>
  <c r="Z227"/>
  <c r="M227"/>
  <c r="Z291"/>
  <c r="M291"/>
  <c r="Z82"/>
  <c r="M82"/>
  <c r="Z98"/>
  <c r="M98"/>
  <c r="Z114"/>
  <c r="M114"/>
  <c r="Z175"/>
  <c r="M175"/>
  <c r="Z207"/>
  <c r="M207"/>
  <c r="Z239"/>
  <c r="M239"/>
  <c r="Z281"/>
  <c r="M281"/>
  <c r="Z197"/>
  <c r="M197"/>
  <c r="Z21"/>
  <c r="M21"/>
  <c r="Z209"/>
  <c r="M209"/>
  <c r="Z273"/>
  <c r="M273"/>
  <c r="Z327"/>
  <c r="M327"/>
  <c r="Z341"/>
  <c r="M341"/>
  <c r="Z139"/>
  <c r="M139"/>
  <c r="Z155"/>
  <c r="M155"/>
  <c r="Z171"/>
  <c r="M171"/>
  <c r="Z72"/>
  <c r="M72"/>
  <c r="Z88"/>
  <c r="M88"/>
  <c r="Z104"/>
  <c r="M104"/>
  <c r="Z120"/>
  <c r="M120"/>
  <c r="Z64"/>
  <c r="M64"/>
  <c r="Z278"/>
  <c r="M278"/>
  <c r="Z310"/>
  <c r="M310"/>
  <c r="Z10"/>
  <c r="M10"/>
  <c r="Z208"/>
  <c r="M208"/>
  <c r="Z240"/>
  <c r="M240"/>
  <c r="Z272"/>
  <c r="M272"/>
  <c r="Z304"/>
  <c r="M304"/>
  <c r="Z328"/>
  <c r="M328"/>
  <c r="Z344"/>
  <c r="M344"/>
  <c r="Z198"/>
  <c r="M198"/>
  <c r="Z230"/>
  <c r="M230"/>
  <c r="Z346"/>
  <c r="M346"/>
  <c r="Z376"/>
  <c r="M376"/>
  <c r="Z35"/>
  <c r="M35"/>
  <c r="Z16"/>
  <c r="M16"/>
  <c r="Z184"/>
  <c r="M184"/>
  <c r="Z60"/>
  <c r="M60"/>
  <c r="Z44"/>
  <c r="M44"/>
  <c r="Z12"/>
  <c r="M12"/>
  <c r="Z168"/>
  <c r="M168"/>
  <c r="Z160"/>
  <c r="M160"/>
  <c r="Z152"/>
  <c r="M152"/>
  <c r="Z144"/>
  <c r="M144"/>
  <c r="Z136"/>
  <c r="M136"/>
  <c r="Z128"/>
  <c r="M128"/>
  <c r="Z394"/>
  <c r="M394"/>
  <c r="Z378"/>
  <c r="M378"/>
  <c r="Z362"/>
  <c r="M362"/>
  <c r="Z342"/>
  <c r="M342"/>
  <c r="Z314"/>
  <c r="M314"/>
  <c r="Z282"/>
  <c r="M282"/>
  <c r="Z250"/>
  <c r="M250"/>
  <c r="Z218"/>
  <c r="M218"/>
  <c r="Z186"/>
  <c r="M186"/>
  <c r="Z54"/>
  <c r="M54"/>
  <c r="Z38"/>
  <c r="M38"/>
  <c r="Z22"/>
  <c r="M22"/>
  <c r="Z166"/>
  <c r="M166"/>
  <c r="Z321"/>
  <c r="M321"/>
  <c r="Z339"/>
  <c r="M339"/>
  <c r="Z331"/>
  <c r="M331"/>
  <c r="Z5"/>
  <c r="M5"/>
  <c r="X5" s="1"/>
  <c r="A5" s="1"/>
  <c r="Z368"/>
  <c r="M368"/>
  <c r="Z338"/>
  <c r="M338"/>
  <c r="Z306"/>
  <c r="M306"/>
  <c r="Z274"/>
  <c r="M274"/>
  <c r="Z238"/>
  <c r="M238"/>
  <c r="Z206"/>
  <c r="M206"/>
  <c r="Z68"/>
  <c r="M68"/>
  <c r="Z36"/>
  <c r="M36"/>
  <c r="Z390"/>
  <c r="M390"/>
  <c r="Z358"/>
  <c r="M358"/>
  <c r="Z324"/>
  <c r="M324"/>
  <c r="Z292"/>
  <c r="M292"/>
  <c r="Z260"/>
  <c r="M260"/>
  <c r="Z162"/>
  <c r="M162"/>
  <c r="Z154"/>
  <c r="M154"/>
  <c r="Z146"/>
  <c r="M146"/>
  <c r="Z138"/>
  <c r="M138"/>
  <c r="Z130"/>
  <c r="M130"/>
  <c r="Z348"/>
  <c r="M348"/>
  <c r="Z25"/>
  <c r="M25"/>
  <c r="X25" s="1"/>
  <c r="A25" s="1"/>
  <c r="Z43"/>
  <c r="M43"/>
  <c r="X43" s="1"/>
  <c r="A43" s="1"/>
  <c r="Z11"/>
  <c r="M11"/>
  <c r="X11" s="1"/>
  <c r="A11" s="1"/>
  <c r="Z119"/>
  <c r="M119"/>
  <c r="Z111"/>
  <c r="M111"/>
  <c r="Z103"/>
  <c r="M103"/>
  <c r="Z95"/>
  <c r="M95"/>
  <c r="Z87"/>
  <c r="M87"/>
  <c r="Z79"/>
  <c r="M79"/>
  <c r="Z71"/>
  <c r="M71"/>
  <c r="Z63"/>
  <c r="M63"/>
  <c r="X63" s="1"/>
  <c r="A63" s="1"/>
  <c r="Z15"/>
  <c r="M15"/>
  <c r="X15" s="1"/>
  <c r="A15" s="1"/>
  <c r="Z169"/>
  <c r="M169"/>
  <c r="Z161"/>
  <c r="M161"/>
  <c r="Z153"/>
  <c r="M153"/>
  <c r="Z145"/>
  <c r="M145"/>
  <c r="Z137"/>
  <c r="M137"/>
  <c r="Z129"/>
  <c r="M129"/>
  <c r="Z121"/>
  <c r="M121"/>
  <c r="Z113"/>
  <c r="M113"/>
  <c r="Z105"/>
  <c r="M105"/>
  <c r="Z97"/>
  <c r="M97"/>
  <c r="X97" s="1"/>
  <c r="A97" s="1"/>
  <c r="Z89"/>
  <c r="M89"/>
  <c r="X89" s="1"/>
  <c r="A89" s="1"/>
  <c r="Z81"/>
  <c r="M81"/>
  <c r="X81" s="1"/>
  <c r="A81" s="1"/>
  <c r="Z73"/>
  <c r="M73"/>
  <c r="X73" s="1"/>
  <c r="A73" s="1"/>
  <c r="Z329"/>
  <c r="M329"/>
  <c r="Z297"/>
  <c r="M297"/>
  <c r="Z382"/>
  <c r="M382"/>
  <c r="Z350"/>
  <c r="M350"/>
  <c r="Z316"/>
  <c r="M316"/>
  <c r="Z284"/>
  <c r="M284"/>
  <c r="Z252"/>
  <c r="M252"/>
  <c r="Z221"/>
  <c r="M221"/>
  <c r="Z245"/>
  <c r="M245"/>
  <c r="Z223"/>
  <c r="M223"/>
  <c r="Z199"/>
  <c r="M199"/>
  <c r="Z347"/>
  <c r="M347"/>
  <c r="Z110"/>
  <c r="M110"/>
  <c r="Z94"/>
  <c r="M94"/>
  <c r="Z78"/>
  <c r="M78"/>
  <c r="Z267"/>
  <c r="M267"/>
  <c r="Z235"/>
  <c r="M235"/>
  <c r="Z203"/>
  <c r="M203"/>
  <c r="Z185"/>
  <c r="M185"/>
  <c r="Z357"/>
  <c r="M357"/>
  <c r="Z393"/>
  <c r="M393"/>
  <c r="Z343"/>
  <c r="M343"/>
  <c r="Z311"/>
  <c r="M311"/>
  <c r="Z61"/>
  <c r="M61"/>
  <c r="X61" s="1"/>
  <c r="A61" s="1"/>
  <c r="Z33"/>
  <c r="M33"/>
  <c r="X33" s="1"/>
  <c r="A33" s="1"/>
  <c r="Z293"/>
  <c r="M293"/>
  <c r="Z228"/>
  <c r="M228"/>
  <c r="Z212"/>
  <c r="M212"/>
  <c r="Z196"/>
  <c r="M196"/>
  <c r="Z180"/>
  <c r="M180"/>
  <c r="Z58"/>
  <c r="M58"/>
  <c r="Z42"/>
  <c r="M42"/>
  <c r="Z26"/>
  <c r="M26"/>
  <c r="Z6"/>
  <c r="M6"/>
  <c r="Z372"/>
  <c r="M372"/>
  <c r="Z334"/>
  <c r="M334"/>
  <c r="Z302"/>
  <c r="M302"/>
  <c r="Z270"/>
  <c r="M270"/>
  <c r="Z242"/>
  <c r="M242"/>
  <c r="Z210"/>
  <c r="M210"/>
  <c r="Z178"/>
  <c r="M178"/>
  <c r="Z40"/>
  <c r="M40"/>
  <c r="Z397"/>
  <c r="M397"/>
  <c r="Z391"/>
  <c r="M391"/>
  <c r="Z383"/>
  <c r="M383"/>
  <c r="Z375"/>
  <c r="M375"/>
  <c r="Z369"/>
  <c r="M369"/>
  <c r="Z363"/>
  <c r="M363"/>
  <c r="Z353"/>
  <c r="M353"/>
  <c r="Z108"/>
  <c r="M108"/>
  <c r="Z92"/>
  <c r="M92"/>
  <c r="Z76"/>
  <c r="M76"/>
  <c r="Z371"/>
  <c r="M371"/>
  <c r="Z231"/>
  <c r="M231"/>
  <c r="Z167"/>
  <c r="M167"/>
  <c r="X167" s="1"/>
  <c r="A167" s="1"/>
  <c r="Z151"/>
  <c r="M151"/>
  <c r="X151" s="1"/>
  <c r="A151" s="1"/>
  <c r="Z135"/>
  <c r="M135"/>
  <c r="X135" s="1"/>
  <c r="A135" s="1"/>
  <c r="Z333"/>
  <c r="M333"/>
  <c r="Z335"/>
  <c r="M335"/>
  <c r="Z307"/>
  <c r="M307"/>
  <c r="Z55"/>
  <c r="M55"/>
  <c r="X55" s="1"/>
  <c r="A55" s="1"/>
  <c r="Z253"/>
  <c r="M253"/>
  <c r="Z187"/>
  <c r="M187"/>
  <c r="X187" s="1"/>
  <c r="AB187" s="1"/>
  <c r="Z47"/>
  <c r="M47"/>
  <c r="X47" s="1"/>
  <c r="A47" s="1"/>
  <c r="Z29"/>
  <c r="M29"/>
  <c r="X29" s="1"/>
  <c r="A29" s="1"/>
  <c r="Z17"/>
  <c r="M17"/>
  <c r="X17" s="1"/>
  <c r="A17" s="1"/>
  <c r="Z269"/>
  <c r="M269"/>
  <c r="Z189"/>
  <c r="M189"/>
  <c r="X189" s="1"/>
  <c r="AB189" s="1"/>
  <c r="Z225"/>
  <c r="M225"/>
  <c r="X225" s="1"/>
  <c r="AB225" s="1"/>
  <c r="Z377"/>
  <c r="M377"/>
  <c r="Z279"/>
  <c r="M279"/>
  <c r="Z265"/>
  <c r="M265"/>
  <c r="Z275"/>
  <c r="M275"/>
  <c r="Z193"/>
  <c r="M193"/>
  <c r="X193" s="1"/>
  <c r="AB193" s="1"/>
  <c r="Z389"/>
  <c r="M389"/>
  <c r="Z283"/>
  <c r="M283"/>
  <c r="Z232"/>
  <c r="M232"/>
  <c r="Z264"/>
  <c r="M264"/>
  <c r="Z296"/>
  <c r="M296"/>
  <c r="Z364"/>
  <c r="M364"/>
  <c r="Z396"/>
  <c r="M396"/>
  <c r="Z229"/>
  <c r="M229"/>
  <c r="X229" s="1"/>
  <c r="AB229" s="1"/>
  <c r="Z37"/>
  <c r="M37"/>
  <c r="X37" s="1"/>
  <c r="A37" s="1"/>
  <c r="Z65"/>
  <c r="M65"/>
  <c r="X65" s="1"/>
  <c r="A65" s="1"/>
  <c r="Z355"/>
  <c r="M355"/>
  <c r="Z289"/>
  <c r="M289"/>
  <c r="Z51"/>
  <c r="M51"/>
  <c r="X51" s="1"/>
  <c r="A51" s="1"/>
  <c r="W29" i="11"/>
  <c r="U30"/>
  <c r="Z115" i="12"/>
  <c r="M115"/>
  <c r="X115" s="1"/>
  <c r="A115" s="1"/>
  <c r="Z91"/>
  <c r="M91"/>
  <c r="X91" s="1"/>
  <c r="A91" s="1"/>
  <c r="Z75"/>
  <c r="M75"/>
  <c r="X75" s="1"/>
  <c r="A75" s="1"/>
  <c r="Z13"/>
  <c r="M13"/>
  <c r="X13" s="1"/>
  <c r="A13" s="1"/>
  <c r="Z173"/>
  <c r="M173"/>
  <c r="X173" s="1"/>
  <c r="A173" s="1"/>
  <c r="Z157"/>
  <c r="M157"/>
  <c r="X157" s="1"/>
  <c r="A157" s="1"/>
  <c r="Z141"/>
  <c r="M141"/>
  <c r="X141" s="1"/>
  <c r="A141" s="1"/>
  <c r="Z125"/>
  <c r="M125"/>
  <c r="X125" s="1"/>
  <c r="A125" s="1"/>
  <c r="Z109"/>
  <c r="M109"/>
  <c r="X109" s="1"/>
  <c r="A109" s="1"/>
  <c r="Z93"/>
  <c r="M93"/>
  <c r="X93" s="1"/>
  <c r="A93" s="1"/>
  <c r="Z77"/>
  <c r="M77"/>
  <c r="X77" s="1"/>
  <c r="A77" s="1"/>
  <c r="Z345"/>
  <c r="M345"/>
  <c r="Z398"/>
  <c r="M398"/>
  <c r="Z332"/>
  <c r="M332"/>
  <c r="Z268"/>
  <c r="M268"/>
  <c r="Z255"/>
  <c r="M255"/>
  <c r="Z215"/>
  <c r="M215"/>
  <c r="X215" s="1"/>
  <c r="AB215" s="1"/>
  <c r="Z118"/>
  <c r="M118"/>
  <c r="Z86"/>
  <c r="M86"/>
  <c r="Z251"/>
  <c r="M251"/>
  <c r="Z195"/>
  <c r="M195"/>
  <c r="X195" s="1"/>
  <c r="AB195" s="1"/>
  <c r="Z201"/>
  <c r="M201"/>
  <c r="X201" s="1"/>
  <c r="AB201" s="1"/>
  <c r="Z319"/>
  <c r="M319"/>
  <c r="Z14"/>
  <c r="M14"/>
  <c r="Z220"/>
  <c r="M220"/>
  <c r="Z204"/>
  <c r="M204"/>
  <c r="Z66"/>
  <c r="M66"/>
  <c r="Z34"/>
  <c r="M34"/>
  <c r="Z388"/>
  <c r="M388"/>
  <c r="Z318"/>
  <c r="M318"/>
  <c r="Z254"/>
  <c r="M254"/>
  <c r="Z194"/>
  <c r="M194"/>
  <c r="Z56"/>
  <c r="M56"/>
  <c r="Z395"/>
  <c r="M395"/>
  <c r="Z379"/>
  <c r="M379"/>
  <c r="Z365"/>
  <c r="M365"/>
  <c r="Z116"/>
  <c r="M116"/>
  <c r="Z84"/>
  <c r="M84"/>
  <c r="Z263"/>
  <c r="M263"/>
  <c r="Z159"/>
  <c r="M159"/>
  <c r="X159" s="1"/>
  <c r="A159" s="1"/>
  <c r="Z127"/>
  <c r="M127"/>
  <c r="X127" s="1"/>
  <c r="A127" s="1"/>
  <c r="Z323"/>
  <c r="M323"/>
  <c r="Z277"/>
  <c r="M277"/>
  <c r="Z57"/>
  <c r="M57"/>
  <c r="X57" s="1"/>
  <c r="A57" s="1"/>
  <c r="Z23"/>
  <c r="M23"/>
  <c r="X23" s="1"/>
  <c r="A23" s="1"/>
  <c r="Z205"/>
  <c r="M205"/>
  <c r="X205" s="1"/>
  <c r="AB205" s="1"/>
  <c r="Z243"/>
  <c r="M243"/>
  <c r="Z271"/>
  <c r="M271"/>
  <c r="Z381"/>
  <c r="M381"/>
  <c r="Z219"/>
  <c r="M219"/>
  <c r="X219" s="1"/>
  <c r="AB219" s="1"/>
  <c r="Z367"/>
  <c r="M367"/>
  <c r="Z280"/>
  <c r="M280"/>
  <c r="G34" i="11"/>
  <c r="W3" i="12" s="1"/>
  <c r="W4"/>
  <c r="X4" s="1"/>
  <c r="A4" s="1"/>
  <c r="W5"/>
  <c r="W6"/>
  <c r="W7"/>
  <c r="X7" s="1"/>
  <c r="A7" s="1"/>
  <c r="W8"/>
  <c r="X8" s="1"/>
  <c r="A8" s="1"/>
  <c r="W9"/>
  <c r="X9" s="1"/>
  <c r="A9" s="1"/>
  <c r="W10"/>
  <c r="W11"/>
  <c r="W12"/>
  <c r="W13"/>
  <c r="W14"/>
  <c r="W15"/>
  <c r="W16"/>
  <c r="W17"/>
  <c r="W18"/>
  <c r="X18" s="1"/>
  <c r="A18" s="1"/>
  <c r="W19"/>
  <c r="X19" s="1"/>
  <c r="A19" s="1"/>
  <c r="W20"/>
  <c r="X20" s="1"/>
  <c r="A20" s="1"/>
  <c r="W21"/>
  <c r="W22"/>
  <c r="W23"/>
  <c r="W24"/>
  <c r="X24" s="1"/>
  <c r="A24" s="1"/>
  <c r="W25"/>
  <c r="W26"/>
  <c r="W27"/>
  <c r="X27" s="1"/>
  <c r="A27" s="1"/>
  <c r="W28"/>
  <c r="X28" s="1"/>
  <c r="A28" s="1"/>
  <c r="W29"/>
  <c r="W30"/>
  <c r="X30" s="1"/>
  <c r="A30" s="1"/>
  <c r="W31"/>
  <c r="X31" s="1"/>
  <c r="A31" s="1"/>
  <c r="W32"/>
  <c r="X32" s="1"/>
  <c r="A32" s="1"/>
  <c r="W33"/>
  <c r="W34"/>
  <c r="W35"/>
  <c r="W36"/>
  <c r="W37"/>
  <c r="W38"/>
  <c r="W39"/>
  <c r="X39" s="1"/>
  <c r="A39" s="1"/>
  <c r="W40"/>
  <c r="W41"/>
  <c r="X41" s="1"/>
  <c r="A41" s="1"/>
  <c r="W42"/>
  <c r="W43"/>
  <c r="W44"/>
  <c r="W45"/>
  <c r="X45" s="1"/>
  <c r="A45" s="1"/>
  <c r="W46"/>
  <c r="X46" s="1"/>
  <c r="A46" s="1"/>
  <c r="W47"/>
  <c r="W48"/>
  <c r="X48" s="1"/>
  <c r="A48" s="1"/>
  <c r="W49"/>
  <c r="X49" s="1"/>
  <c r="A49" s="1"/>
  <c r="W50"/>
  <c r="X50" s="1"/>
  <c r="A50" s="1"/>
  <c r="W51"/>
  <c r="W52"/>
  <c r="X52" s="1"/>
  <c r="A52" s="1"/>
  <c r="W53"/>
  <c r="X53" s="1"/>
  <c r="A53" s="1"/>
  <c r="W54"/>
  <c r="W55"/>
  <c r="W56"/>
  <c r="W57"/>
  <c r="W58"/>
  <c r="W59"/>
  <c r="X59" s="1"/>
  <c r="A59" s="1"/>
  <c r="W60"/>
  <c r="W61"/>
  <c r="W62"/>
  <c r="X62" s="1"/>
  <c r="A62" s="1"/>
  <c r="W63"/>
  <c r="W64"/>
  <c r="X64" s="1"/>
  <c r="A64" s="1"/>
  <c r="W65"/>
  <c r="W66"/>
  <c r="W67"/>
  <c r="X67" s="1"/>
  <c r="A67" s="1"/>
  <c r="W68"/>
  <c r="W69"/>
  <c r="X69" s="1"/>
  <c r="A69" s="1"/>
  <c r="W70"/>
  <c r="X70" s="1"/>
  <c r="A70" s="1"/>
  <c r="W71"/>
  <c r="W72"/>
  <c r="X72" s="1"/>
  <c r="A72" s="1"/>
  <c r="W73"/>
  <c r="W74"/>
  <c r="X74" s="1"/>
  <c r="A74" s="1"/>
  <c r="W75"/>
  <c r="W76"/>
  <c r="W77"/>
  <c r="W78"/>
  <c r="W79"/>
  <c r="W80"/>
  <c r="X80" s="1"/>
  <c r="A80" s="1"/>
  <c r="W81"/>
  <c r="W82"/>
  <c r="X82" s="1"/>
  <c r="A82" s="1"/>
  <c r="W83"/>
  <c r="X83" s="1"/>
  <c r="A83" s="1"/>
  <c r="W84"/>
  <c r="W85"/>
  <c r="X85" s="1"/>
  <c r="A85" s="1"/>
  <c r="W86"/>
  <c r="W87"/>
  <c r="W88"/>
  <c r="X88" s="1"/>
  <c r="A88" s="1"/>
  <c r="W89"/>
  <c r="W90"/>
  <c r="X90" s="1"/>
  <c r="A90" s="1"/>
  <c r="W91"/>
  <c r="W92"/>
  <c r="W93"/>
  <c r="W94"/>
  <c r="W95"/>
  <c r="W96"/>
  <c r="X96" s="1"/>
  <c r="A96" s="1"/>
  <c r="W97"/>
  <c r="W98"/>
  <c r="X98" s="1"/>
  <c r="A98" s="1"/>
  <c r="W99"/>
  <c r="X99" s="1"/>
  <c r="A99" s="1"/>
  <c r="W100"/>
  <c r="X100" s="1"/>
  <c r="A100" s="1"/>
  <c r="W101"/>
  <c r="X101" s="1"/>
  <c r="A101" s="1"/>
  <c r="W102"/>
  <c r="X102" s="1"/>
  <c r="A102" s="1"/>
  <c r="W103"/>
  <c r="W104"/>
  <c r="X104" s="1"/>
  <c r="A104" s="1"/>
  <c r="W105"/>
  <c r="W106"/>
  <c r="X106" s="1"/>
  <c r="A106" s="1"/>
  <c r="W107"/>
  <c r="X107" s="1"/>
  <c r="A107" s="1"/>
  <c r="W108"/>
  <c r="W109"/>
  <c r="W110"/>
  <c r="W111"/>
  <c r="W112"/>
  <c r="X112" s="1"/>
  <c r="A112" s="1"/>
  <c r="W113"/>
  <c r="W114"/>
  <c r="X114" s="1"/>
  <c r="A114" s="1"/>
  <c r="W115"/>
  <c r="W116"/>
  <c r="W117"/>
  <c r="X117" s="1"/>
  <c r="A117" s="1"/>
  <c r="W118"/>
  <c r="W119"/>
  <c r="W120"/>
  <c r="X120" s="1"/>
  <c r="A120" s="1"/>
  <c r="W121"/>
  <c r="W122"/>
  <c r="X122" s="1"/>
  <c r="A122" s="1"/>
  <c r="W123"/>
  <c r="X123" s="1"/>
  <c r="A123" s="1"/>
  <c r="W124"/>
  <c r="X124" s="1"/>
  <c r="A124" s="1"/>
  <c r="W125"/>
  <c r="W126"/>
  <c r="X126" s="1"/>
  <c r="A126" s="1"/>
  <c r="W127"/>
  <c r="W128"/>
  <c r="X128" s="1"/>
  <c r="A128" s="1"/>
  <c r="W129"/>
  <c r="W130"/>
  <c r="W131"/>
  <c r="X131" s="1"/>
  <c r="A131" s="1"/>
  <c r="W132"/>
  <c r="X132" s="1"/>
  <c r="A132" s="1"/>
  <c r="W133"/>
  <c r="X133" s="1"/>
  <c r="A133" s="1"/>
  <c r="W134"/>
  <c r="X134" s="1"/>
  <c r="A134" s="1"/>
  <c r="W135"/>
  <c r="W136"/>
  <c r="X136" s="1"/>
  <c r="A136" s="1"/>
  <c r="W137"/>
  <c r="W138"/>
  <c r="W139"/>
  <c r="X139" s="1"/>
  <c r="A139" s="1"/>
  <c r="W140"/>
  <c r="X140" s="1"/>
  <c r="A140" s="1"/>
  <c r="W141"/>
  <c r="W142"/>
  <c r="X142" s="1"/>
  <c r="A142" s="1"/>
  <c r="W143"/>
  <c r="X143" s="1"/>
  <c r="A143" s="1"/>
  <c r="W144"/>
  <c r="X144" s="1"/>
  <c r="A144" s="1"/>
  <c r="W145"/>
  <c r="W146"/>
  <c r="W147"/>
  <c r="X147" s="1"/>
  <c r="A147" s="1"/>
  <c r="W148"/>
  <c r="X148" s="1"/>
  <c r="A148" s="1"/>
  <c r="W149"/>
  <c r="X149" s="1"/>
  <c r="A149" s="1"/>
  <c r="W150"/>
  <c r="X150" s="1"/>
  <c r="A150" s="1"/>
  <c r="W151"/>
  <c r="W152"/>
  <c r="X152" s="1"/>
  <c r="A152" s="1"/>
  <c r="W153"/>
  <c r="W154"/>
  <c r="X154" s="1"/>
  <c r="A154" s="1"/>
  <c r="W155"/>
  <c r="X155" s="1"/>
  <c r="A155" s="1"/>
  <c r="W156"/>
  <c r="X156" s="1"/>
  <c r="A156" s="1"/>
  <c r="W157"/>
  <c r="W158"/>
  <c r="X158" s="1"/>
  <c r="A158" s="1"/>
  <c r="W159"/>
  <c r="W160"/>
  <c r="X160" s="1"/>
  <c r="A160" s="1"/>
  <c r="W161"/>
  <c r="W162"/>
  <c r="X162" s="1"/>
  <c r="A162" s="1"/>
  <c r="W163"/>
  <c r="X163" s="1"/>
  <c r="A163" s="1"/>
  <c r="W164"/>
  <c r="X164" s="1"/>
  <c r="A164" s="1"/>
  <c r="W165"/>
  <c r="X165" s="1"/>
  <c r="A165" s="1"/>
  <c r="W166"/>
  <c r="X166" s="1"/>
  <c r="A166" s="1"/>
  <c r="W167"/>
  <c r="W168"/>
  <c r="X168" s="1"/>
  <c r="A168" s="1"/>
  <c r="W169"/>
  <c r="W170"/>
  <c r="X170" s="1"/>
  <c r="A170" s="1"/>
  <c r="W171"/>
  <c r="X171" s="1"/>
  <c r="A171" s="1"/>
  <c r="W172"/>
  <c r="X172" s="1"/>
  <c r="A172" s="1"/>
  <c r="W173"/>
  <c r="W174"/>
  <c r="X174" s="1"/>
  <c r="A174" s="1"/>
  <c r="W175"/>
  <c r="X175" s="1"/>
  <c r="W176"/>
  <c r="X176" s="1"/>
  <c r="AB176" s="1"/>
  <c r="W177"/>
  <c r="X177" s="1"/>
  <c r="AB177" s="1"/>
  <c r="W178"/>
  <c r="W179"/>
  <c r="X179" s="1"/>
  <c r="AB179" s="1"/>
  <c r="W180"/>
  <c r="W181"/>
  <c r="X181" s="1"/>
  <c r="AB181" s="1"/>
  <c r="W182"/>
  <c r="X182" s="1"/>
  <c r="AB182" s="1"/>
  <c r="W183"/>
  <c r="X183" s="1"/>
  <c r="AB183" s="1"/>
  <c r="W184"/>
  <c r="X184" s="1"/>
  <c r="AB184" s="1"/>
  <c r="W185"/>
  <c r="W186"/>
  <c r="X186" s="1"/>
  <c r="AB186" s="1"/>
  <c r="W187"/>
  <c r="W188"/>
  <c r="X188" s="1"/>
  <c r="AB188" s="1"/>
  <c r="W189"/>
  <c r="W190"/>
  <c r="X190" s="1"/>
  <c r="AB190" s="1"/>
  <c r="W191"/>
  <c r="X191" s="1"/>
  <c r="AB191" s="1"/>
  <c r="W192"/>
  <c r="X192" s="1"/>
  <c r="AB192" s="1"/>
  <c r="W193"/>
  <c r="W194"/>
  <c r="W195"/>
  <c r="W196"/>
  <c r="W197"/>
  <c r="X197" s="1"/>
  <c r="AB197" s="1"/>
  <c r="W198"/>
  <c r="X198" s="1"/>
  <c r="AB198" s="1"/>
  <c r="W199"/>
  <c r="W200"/>
  <c r="X200" s="1"/>
  <c r="AB200" s="1"/>
  <c r="W201"/>
  <c r="W202"/>
  <c r="X202" s="1"/>
  <c r="AB202" s="1"/>
  <c r="W203"/>
  <c r="W204"/>
  <c r="W205"/>
  <c r="W206"/>
  <c r="X206" s="1"/>
  <c r="AB206" s="1"/>
  <c r="W207"/>
  <c r="X207" s="1"/>
  <c r="AB207" s="1"/>
  <c r="W208"/>
  <c r="X208" s="1"/>
  <c r="AB208" s="1"/>
  <c r="W209"/>
  <c r="X209" s="1"/>
  <c r="AB209" s="1"/>
  <c r="W210"/>
  <c r="W211"/>
  <c r="X211" s="1"/>
  <c r="AB211" s="1"/>
  <c r="W212"/>
  <c r="W213"/>
  <c r="X213" s="1"/>
  <c r="AB213" s="1"/>
  <c r="W214"/>
  <c r="X214" s="1"/>
  <c r="AB214" s="1"/>
  <c r="W215"/>
  <c r="W216"/>
  <c r="X216" s="1"/>
  <c r="AB216" s="1"/>
  <c r="W217"/>
  <c r="X217" s="1"/>
  <c r="AB217" s="1"/>
  <c r="W218"/>
  <c r="X218" s="1"/>
  <c r="AB218" s="1"/>
  <c r="W219"/>
  <c r="W220"/>
  <c r="W221"/>
  <c r="W222"/>
  <c r="X222" s="1"/>
  <c r="AB222" s="1"/>
  <c r="W223"/>
  <c r="W224"/>
  <c r="X224" s="1"/>
  <c r="AB224" s="1"/>
  <c r="W225"/>
  <c r="W226"/>
  <c r="X226" s="1"/>
  <c r="AB226" s="1"/>
  <c r="W227"/>
  <c r="X227" s="1"/>
  <c r="AB227" s="1"/>
  <c r="W228"/>
  <c r="W229"/>
  <c r="W230"/>
  <c r="X230" s="1"/>
  <c r="AB230" s="1"/>
  <c r="W231"/>
  <c r="W232"/>
  <c r="W233"/>
  <c r="X233" s="1"/>
  <c r="AB233" s="1"/>
  <c r="W234"/>
  <c r="X234" s="1"/>
  <c r="AB234" s="1"/>
  <c r="W235"/>
  <c r="W236"/>
  <c r="X236" s="1"/>
  <c r="AB236" s="1"/>
  <c r="W237"/>
  <c r="X237" s="1"/>
  <c r="AB237" s="1"/>
  <c r="W238"/>
  <c r="X238" s="1"/>
  <c r="AB238" s="1"/>
  <c r="W239"/>
  <c r="X239" s="1"/>
  <c r="AB239" s="1"/>
  <c r="W240"/>
  <c r="X240" s="1"/>
  <c r="AB240" s="1"/>
  <c r="W241"/>
  <c r="X241" s="1"/>
  <c r="AB241" s="1"/>
  <c r="W242"/>
  <c r="X242" s="1"/>
  <c r="W243"/>
  <c r="W244"/>
  <c r="X244" s="1"/>
  <c r="W245"/>
  <c r="W246"/>
  <c r="X246" s="1"/>
  <c r="W247"/>
  <c r="X247" s="1"/>
  <c r="W248"/>
  <c r="X248" s="1"/>
  <c r="W249"/>
  <c r="X249" s="1"/>
  <c r="W250"/>
  <c r="X250" s="1"/>
  <c r="W251"/>
  <c r="W252"/>
  <c r="X252" s="1"/>
  <c r="W253"/>
  <c r="W254"/>
  <c r="X254" s="1"/>
  <c r="W255"/>
  <c r="W256"/>
  <c r="X256" s="1"/>
  <c r="W257"/>
  <c r="X257" s="1"/>
  <c r="W258"/>
  <c r="X258" s="1"/>
  <c r="W259"/>
  <c r="X259" s="1"/>
  <c r="W260"/>
  <c r="X260" s="1"/>
  <c r="W261"/>
  <c r="X261" s="1"/>
  <c r="W262"/>
  <c r="X262" s="1"/>
  <c r="W263"/>
  <c r="W264"/>
  <c r="X264" s="1"/>
  <c r="W265"/>
  <c r="W266"/>
  <c r="X266" s="1"/>
  <c r="W267"/>
  <c r="W268"/>
  <c r="X268" s="1"/>
  <c r="W269"/>
  <c r="W270"/>
  <c r="X270" s="1"/>
  <c r="W271"/>
  <c r="W272"/>
  <c r="X272" s="1"/>
  <c r="W273"/>
  <c r="X273" s="1"/>
  <c r="W274"/>
  <c r="X274" s="1"/>
  <c r="W275"/>
  <c r="W276"/>
  <c r="X276" s="1"/>
  <c r="W277"/>
  <c r="W278"/>
  <c r="X278" s="1"/>
  <c r="W279"/>
  <c r="W280"/>
  <c r="X280" s="1"/>
  <c r="W281"/>
  <c r="X281" s="1"/>
  <c r="W282"/>
  <c r="X282" s="1"/>
  <c r="W283"/>
  <c r="W284"/>
  <c r="X284" s="1"/>
  <c r="W285"/>
  <c r="X285" s="1"/>
  <c r="W286"/>
  <c r="X286" s="1"/>
  <c r="W287"/>
  <c r="X287" s="1"/>
  <c r="W288"/>
  <c r="X288" s="1"/>
  <c r="W289"/>
  <c r="W290"/>
  <c r="X290" s="1"/>
  <c r="W291"/>
  <c r="X291" s="1"/>
  <c r="W292"/>
  <c r="X292" s="1"/>
  <c r="W293"/>
  <c r="W294"/>
  <c r="X294" s="1"/>
  <c r="W295"/>
  <c r="X295" s="1"/>
  <c r="W296"/>
  <c r="X296" s="1"/>
  <c r="W297"/>
  <c r="W298"/>
  <c r="X298" s="1"/>
  <c r="W299"/>
  <c r="X299" s="1"/>
  <c r="W300"/>
  <c r="X300" s="1"/>
  <c r="W301"/>
  <c r="X301" s="1"/>
  <c r="W302"/>
  <c r="X302" s="1"/>
  <c r="W303"/>
  <c r="X303" s="1"/>
  <c r="W304"/>
  <c r="X304" s="1"/>
  <c r="A304" s="1"/>
  <c r="W305"/>
  <c r="X305" s="1"/>
  <c r="A305" s="1"/>
  <c r="W306"/>
  <c r="X306" s="1"/>
  <c r="A306" s="1"/>
  <c r="W307"/>
  <c r="W308"/>
  <c r="X308" s="1"/>
  <c r="A308" s="1"/>
  <c r="W309"/>
  <c r="X309"/>
  <c r="A309" s="1"/>
  <c r="W310"/>
  <c r="X310"/>
  <c r="A310" s="1"/>
  <c r="W311"/>
  <c r="X311"/>
  <c r="A311" s="1"/>
  <c r="W312"/>
  <c r="X312"/>
  <c r="A312" s="1"/>
  <c r="W313"/>
  <c r="X313"/>
  <c r="A313" s="1"/>
  <c r="W314"/>
  <c r="X314"/>
  <c r="A314" s="1"/>
  <c r="W315"/>
  <c r="X315"/>
  <c r="A315" s="1"/>
  <c r="W316"/>
  <c r="X316"/>
  <c r="A316" s="1"/>
  <c r="W317"/>
  <c r="X317"/>
  <c r="A317" s="1"/>
  <c r="W318"/>
  <c r="X318"/>
  <c r="A318" s="1"/>
  <c r="W319"/>
  <c r="X319"/>
  <c r="A319" s="1"/>
  <c r="W320"/>
  <c r="X320"/>
  <c r="A320" s="1"/>
  <c r="W321"/>
  <c r="X321"/>
  <c r="A321" s="1"/>
  <c r="W322"/>
  <c r="X322"/>
  <c r="A322" s="1"/>
  <c r="W323"/>
  <c r="X323"/>
  <c r="A323" s="1"/>
  <c r="W324"/>
  <c r="X324"/>
  <c r="A324" s="1"/>
  <c r="W325"/>
  <c r="X325"/>
  <c r="A325" s="1"/>
  <c r="W326"/>
  <c r="X326"/>
  <c r="A326" s="1"/>
  <c r="W327"/>
  <c r="X327"/>
  <c r="A327" s="1"/>
  <c r="W328"/>
  <c r="X328"/>
  <c r="A328" s="1"/>
  <c r="W329"/>
  <c r="X329"/>
  <c r="A329" s="1"/>
  <c r="W330"/>
  <c r="X330"/>
  <c r="A330" s="1"/>
  <c r="W331"/>
  <c r="X331"/>
  <c r="A331" s="1"/>
  <c r="W332"/>
  <c r="X332"/>
  <c r="A332" s="1"/>
  <c r="W333"/>
  <c r="X333"/>
  <c r="A333" s="1"/>
  <c r="W334"/>
  <c r="X334"/>
  <c r="A334" s="1"/>
  <c r="W335"/>
  <c r="X335"/>
  <c r="A335" s="1"/>
  <c r="W336"/>
  <c r="X336"/>
  <c r="A336" s="1"/>
  <c r="W337"/>
  <c r="X337"/>
  <c r="A337" s="1"/>
  <c r="W338"/>
  <c r="X338"/>
  <c r="A338" s="1"/>
  <c r="W339"/>
  <c r="X339"/>
  <c r="A339" s="1"/>
  <c r="W340"/>
  <c r="X340"/>
  <c r="A340" s="1"/>
  <c r="W341"/>
  <c r="X341"/>
  <c r="A341" s="1"/>
  <c r="W342"/>
  <c r="X342"/>
  <c r="A342" s="1"/>
  <c r="W343"/>
  <c r="X343"/>
  <c r="A343" s="1"/>
  <c r="W344"/>
  <c r="X344"/>
  <c r="A344" s="1"/>
  <c r="W345"/>
  <c r="X345"/>
  <c r="A345" s="1"/>
  <c r="W346"/>
  <c r="X346"/>
  <c r="A346" s="1"/>
  <c r="W347"/>
  <c r="X347"/>
  <c r="A347" s="1"/>
  <c r="W348"/>
  <c r="X348"/>
  <c r="A348" s="1"/>
  <c r="W349"/>
  <c r="X349"/>
  <c r="A349" s="1"/>
  <c r="W350"/>
  <c r="X350"/>
  <c r="A350" s="1"/>
  <c r="W351"/>
  <c r="X351"/>
  <c r="A351" s="1"/>
  <c r="W352"/>
  <c r="X352"/>
  <c r="A352" s="1"/>
  <c r="W353"/>
  <c r="X353"/>
  <c r="A353" s="1"/>
  <c r="W354"/>
  <c r="X354"/>
  <c r="A354" s="1"/>
  <c r="W355"/>
  <c r="X355"/>
  <c r="A355" s="1"/>
  <c r="W356"/>
  <c r="X356"/>
  <c r="A356" s="1"/>
  <c r="W357"/>
  <c r="X357"/>
  <c r="A357" s="1"/>
  <c r="W358"/>
  <c r="X358"/>
  <c r="A358" s="1"/>
  <c r="W359"/>
  <c r="X359"/>
  <c r="A359" s="1"/>
  <c r="W360"/>
  <c r="X360"/>
  <c r="A360" s="1"/>
  <c r="W361"/>
  <c r="X361"/>
  <c r="A361" s="1"/>
  <c r="W362"/>
  <c r="X362"/>
  <c r="A362" s="1"/>
  <c r="W363"/>
  <c r="X363"/>
  <c r="A363" s="1"/>
  <c r="W364"/>
  <c r="X364"/>
  <c r="A364" s="1"/>
  <c r="W365"/>
  <c r="X365"/>
  <c r="A365" s="1"/>
  <c r="W366"/>
  <c r="X366"/>
  <c r="A366" s="1"/>
  <c r="W367"/>
  <c r="X367"/>
  <c r="A367" s="1"/>
  <c r="W368"/>
  <c r="X368"/>
  <c r="A368" s="1"/>
  <c r="W369"/>
  <c r="X369"/>
  <c r="A369" s="1"/>
  <c r="W370"/>
  <c r="X370"/>
  <c r="A370" s="1"/>
  <c r="W371"/>
  <c r="X371"/>
  <c r="A371" s="1"/>
  <c r="W372"/>
  <c r="X372"/>
  <c r="A372" s="1"/>
  <c r="W373"/>
  <c r="X373"/>
  <c r="A373" s="1"/>
  <c r="W374"/>
  <c r="X374"/>
  <c r="A374" s="1"/>
  <c r="W375"/>
  <c r="X375"/>
  <c r="AB375" s="1"/>
  <c r="W376"/>
  <c r="X376"/>
  <c r="AB376" s="1"/>
  <c r="W377"/>
  <c r="X377"/>
  <c r="AB377" s="1"/>
  <c r="W378"/>
  <c r="X378"/>
  <c r="A378" s="1"/>
  <c r="W379"/>
  <c r="X379"/>
  <c r="AB379" s="1"/>
  <c r="W380"/>
  <c r="X380"/>
  <c r="A380" s="1"/>
  <c r="W381"/>
  <c r="X381"/>
  <c r="AB381" s="1"/>
  <c r="W382"/>
  <c r="X382"/>
  <c r="A382" s="1"/>
  <c r="W383"/>
  <c r="X383"/>
  <c r="AB383" s="1"/>
  <c r="W384"/>
  <c r="X384"/>
  <c r="A384" s="1"/>
  <c r="W385"/>
  <c r="X385"/>
  <c r="AB385" s="1"/>
  <c r="W386"/>
  <c r="X386"/>
  <c r="A386" s="1"/>
  <c r="W387"/>
  <c r="X387"/>
  <c r="A387" s="1"/>
  <c r="W388"/>
  <c r="X388"/>
  <c r="AB388" s="1"/>
  <c r="W389"/>
  <c r="X389"/>
  <c r="A389" s="1"/>
  <c r="W390"/>
  <c r="X390"/>
  <c r="AB390" s="1"/>
  <c r="W391"/>
  <c r="X391"/>
  <c r="A391" s="1"/>
  <c r="W392"/>
  <c r="X392"/>
  <c r="AB392" s="1"/>
  <c r="W393"/>
  <c r="X393"/>
  <c r="A393" s="1"/>
  <c r="W394"/>
  <c r="X394"/>
  <c r="A394" s="1"/>
  <c r="W395"/>
  <c r="X395"/>
  <c r="AB395" s="1"/>
  <c r="W396"/>
  <c r="X396"/>
  <c r="AB396" s="1"/>
  <c r="W397"/>
  <c r="X397"/>
  <c r="A397" s="1"/>
  <c r="W398"/>
  <c r="X398"/>
  <c r="A398" s="1"/>
  <c r="W399"/>
  <c r="X399"/>
  <c r="AB399" s="1"/>
  <c r="X297" l="1"/>
  <c r="X293"/>
  <c r="X267"/>
  <c r="X245"/>
  <c r="X235"/>
  <c r="AB235" s="1"/>
  <c r="X223"/>
  <c r="AB223" s="1"/>
  <c r="X221"/>
  <c r="AB221" s="1"/>
  <c r="X21"/>
  <c r="A21" s="1"/>
  <c r="X84"/>
  <c r="A84" s="1"/>
  <c r="X56"/>
  <c r="A56" s="1"/>
  <c r="X34"/>
  <c r="A34" s="1"/>
  <c r="X204"/>
  <c r="AB204" s="1"/>
  <c r="X14"/>
  <c r="A14" s="1"/>
  <c r="X86"/>
  <c r="A86" s="1"/>
  <c r="X116"/>
  <c r="A116" s="1"/>
  <c r="X194"/>
  <c r="AB194" s="1"/>
  <c r="X66"/>
  <c r="A66" s="1"/>
  <c r="X220"/>
  <c r="AB220" s="1"/>
  <c r="X118"/>
  <c r="A118" s="1"/>
  <c r="X232"/>
  <c r="AB232" s="1"/>
  <c r="X307"/>
  <c r="A307" s="1"/>
  <c r="X231"/>
  <c r="AB231" s="1"/>
  <c r="X76"/>
  <c r="A76" s="1"/>
  <c r="X92"/>
  <c r="A92" s="1"/>
  <c r="X108"/>
  <c r="A108" s="1"/>
  <c r="X40"/>
  <c r="A40" s="1"/>
  <c r="X178"/>
  <c r="AB178" s="1"/>
  <c r="X210"/>
  <c r="AB210" s="1"/>
  <c r="X6"/>
  <c r="A6" s="1"/>
  <c r="X26"/>
  <c r="A26" s="1"/>
  <c r="X42"/>
  <c r="A42" s="1"/>
  <c r="X58"/>
  <c r="A58" s="1"/>
  <c r="X180"/>
  <c r="AB180" s="1"/>
  <c r="X196"/>
  <c r="AB196" s="1"/>
  <c r="X212"/>
  <c r="AB212" s="1"/>
  <c r="X228"/>
  <c r="AB228" s="1"/>
  <c r="X185"/>
  <c r="AB185" s="1"/>
  <c r="X203"/>
  <c r="AB203" s="1"/>
  <c r="X78"/>
  <c r="A78" s="1"/>
  <c r="X94"/>
  <c r="A94" s="1"/>
  <c r="X110"/>
  <c r="A110" s="1"/>
  <c r="X199"/>
  <c r="AB199" s="1"/>
  <c r="X105"/>
  <c r="A105" s="1"/>
  <c r="X113"/>
  <c r="A113" s="1"/>
  <c r="X121"/>
  <c r="A121" s="1"/>
  <c r="X129"/>
  <c r="A129" s="1"/>
  <c r="X137"/>
  <c r="A137" s="1"/>
  <c r="X145"/>
  <c r="A145" s="1"/>
  <c r="X153"/>
  <c r="A153" s="1"/>
  <c r="X161"/>
  <c r="A161" s="1"/>
  <c r="X169"/>
  <c r="A169" s="1"/>
  <c r="X71"/>
  <c r="A71" s="1"/>
  <c r="X79"/>
  <c r="A79" s="1"/>
  <c r="X87"/>
  <c r="A87" s="1"/>
  <c r="X95"/>
  <c r="A95" s="1"/>
  <c r="X103"/>
  <c r="A103" s="1"/>
  <c r="X111"/>
  <c r="A111" s="1"/>
  <c r="X119"/>
  <c r="A119" s="1"/>
  <c r="X130"/>
  <c r="A130" s="1"/>
  <c r="X138"/>
  <c r="A138" s="1"/>
  <c r="X146"/>
  <c r="A146" s="1"/>
  <c r="X36"/>
  <c r="A36" s="1"/>
  <c r="X68"/>
  <c r="A68" s="1"/>
  <c r="X22"/>
  <c r="A22" s="1"/>
  <c r="X38"/>
  <c r="A38" s="1"/>
  <c r="X54"/>
  <c r="A54" s="1"/>
  <c r="X12"/>
  <c r="A12" s="1"/>
  <c r="X44"/>
  <c r="A44" s="1"/>
  <c r="X60"/>
  <c r="A60" s="1"/>
  <c r="X16"/>
  <c r="A16" s="1"/>
  <c r="X35"/>
  <c r="A35" s="1"/>
  <c r="X10"/>
  <c r="A10" s="1"/>
  <c r="X289"/>
  <c r="X283"/>
  <c r="AB283" s="1"/>
  <c r="X279"/>
  <c r="X277"/>
  <c r="AB277" s="1"/>
  <c r="X275"/>
  <c r="X271"/>
  <c r="AB271" s="1"/>
  <c r="X269"/>
  <c r="X265"/>
  <c r="A265" s="1"/>
  <c r="X263"/>
  <c r="X255"/>
  <c r="A255" s="1"/>
  <c r="X253"/>
  <c r="X251"/>
  <c r="A251" s="1"/>
  <c r="X243"/>
  <c r="A303"/>
  <c r="AB303"/>
  <c r="A301"/>
  <c r="AB301"/>
  <c r="A299"/>
  <c r="AB299"/>
  <c r="A297"/>
  <c r="AB297"/>
  <c r="A295"/>
  <c r="AB295"/>
  <c r="A293"/>
  <c r="AB293"/>
  <c r="A291"/>
  <c r="AB291"/>
  <c r="A289"/>
  <c r="AB289"/>
  <c r="A287"/>
  <c r="AB287"/>
  <c r="A285"/>
  <c r="AB285"/>
  <c r="A283"/>
  <c r="A281"/>
  <c r="AB281"/>
  <c r="A279"/>
  <c r="AB279"/>
  <c r="A275"/>
  <c r="AB275"/>
  <c r="A273"/>
  <c r="AB273"/>
  <c r="A271"/>
  <c r="A269"/>
  <c r="AB269"/>
  <c r="A267"/>
  <c r="AB267"/>
  <c r="AB265"/>
  <c r="A263"/>
  <c r="AB263"/>
  <c r="A261"/>
  <c r="AB261"/>
  <c r="A259"/>
  <c r="AB259"/>
  <c r="A257"/>
  <c r="AB257"/>
  <c r="AB255"/>
  <c r="A253"/>
  <c r="AB253"/>
  <c r="AB251"/>
  <c r="A249"/>
  <c r="AB249"/>
  <c r="A247"/>
  <c r="AB247"/>
  <c r="A245"/>
  <c r="AB245"/>
  <c r="A243"/>
  <c r="AB243"/>
  <c r="A302"/>
  <c r="AB302"/>
  <c r="A300"/>
  <c r="AB300"/>
  <c r="A298"/>
  <c r="AB298"/>
  <c r="A296"/>
  <c r="AB296"/>
  <c r="A294"/>
  <c r="AB294"/>
  <c r="A292"/>
  <c r="AB292"/>
  <c r="A290"/>
  <c r="AB290"/>
  <c r="A288"/>
  <c r="AB288"/>
  <c r="A286"/>
  <c r="AB286"/>
  <c r="A284"/>
  <c r="AB284"/>
  <c r="A282"/>
  <c r="AB282"/>
  <c r="A280"/>
  <c r="AB280"/>
  <c r="A278"/>
  <c r="AB278"/>
  <c r="A276"/>
  <c r="AB276"/>
  <c r="A274"/>
  <c r="AB274"/>
  <c r="A272"/>
  <c r="AB272"/>
  <c r="A270"/>
  <c r="AB270"/>
  <c r="A268"/>
  <c r="AB268"/>
  <c r="A266"/>
  <c r="AB266"/>
  <c r="A264"/>
  <c r="AB264"/>
  <c r="A262"/>
  <c r="AB262"/>
  <c r="A260"/>
  <c r="AB260"/>
  <c r="A258"/>
  <c r="AB258"/>
  <c r="A256"/>
  <c r="AB256"/>
  <c r="A254"/>
  <c r="AB254"/>
  <c r="A252"/>
  <c r="AB252"/>
  <c r="A250"/>
  <c r="AB250"/>
  <c r="A248"/>
  <c r="AB248"/>
  <c r="A246"/>
  <c r="AB246"/>
  <c r="A244"/>
  <c r="AB244"/>
  <c r="A242"/>
  <c r="AB242"/>
  <c r="A175"/>
  <c r="AB175"/>
  <c r="A399"/>
  <c r="A396"/>
  <c r="A395"/>
  <c r="A392"/>
  <c r="A390"/>
  <c r="A388"/>
  <c r="A385"/>
  <c r="A383"/>
  <c r="A381"/>
  <c r="A379"/>
  <c r="A377"/>
  <c r="A376"/>
  <c r="A375"/>
  <c r="AB398"/>
  <c r="AB397"/>
  <c r="AB394"/>
  <c r="AB393"/>
  <c r="AB391"/>
  <c r="AB389"/>
  <c r="AB387"/>
  <c r="AB386"/>
  <c r="AB384"/>
  <c r="AB382"/>
  <c r="AB380"/>
  <c r="AB378"/>
  <c r="AB374"/>
  <c r="AB373"/>
  <c r="AB372"/>
  <c r="AB371"/>
  <c r="AB370"/>
  <c r="AB369"/>
  <c r="AB368"/>
  <c r="AB367"/>
  <c r="AB366"/>
  <c r="AB365"/>
  <c r="AB364"/>
  <c r="AB363"/>
  <c r="AB362"/>
  <c r="AB361"/>
  <c r="AB360"/>
  <c r="AB359"/>
  <c r="AB358"/>
  <c r="AB357"/>
  <c r="AB356"/>
  <c r="AB355"/>
  <c r="AB354"/>
  <c r="AB353"/>
  <c r="AB352"/>
  <c r="AB351"/>
  <c r="AB350"/>
  <c r="AB349"/>
  <c r="AB348"/>
  <c r="AB347"/>
  <c r="AB346"/>
  <c r="AB345"/>
  <c r="AB344"/>
  <c r="AB343"/>
  <c r="AB342"/>
  <c r="AB341"/>
  <c r="AB340"/>
  <c r="AB339"/>
  <c r="AB338"/>
  <c r="AB337"/>
  <c r="AB336"/>
  <c r="AB335"/>
  <c r="AB334"/>
  <c r="AB333"/>
  <c r="AB332"/>
  <c r="AB331"/>
  <c r="AB330"/>
  <c r="AB329"/>
  <c r="AB328"/>
  <c r="AB327"/>
  <c r="AB326"/>
  <c r="AB325"/>
  <c r="AB324"/>
  <c r="AB323"/>
  <c r="AB322"/>
  <c r="AB321"/>
  <c r="AB320"/>
  <c r="AB319"/>
  <c r="AB318"/>
  <c r="AB317"/>
  <c r="AB316"/>
  <c r="AB315"/>
  <c r="AB314"/>
  <c r="AB313"/>
  <c r="AB312"/>
  <c r="AB311"/>
  <c r="AB310"/>
  <c r="AB309"/>
  <c r="AB308"/>
  <c r="AB307"/>
  <c r="AB306"/>
  <c r="AB305"/>
  <c r="AB304"/>
  <c r="A241"/>
  <c r="A239"/>
  <c r="A237"/>
  <c r="A235"/>
  <c r="A233"/>
  <c r="A231"/>
  <c r="A229"/>
  <c r="A227"/>
  <c r="A225"/>
  <c r="A223"/>
  <c r="A221"/>
  <c r="A219"/>
  <c r="A217"/>
  <c r="A215"/>
  <c r="A213"/>
  <c r="A211"/>
  <c r="A209"/>
  <c r="A207"/>
  <c r="A205"/>
  <c r="A203"/>
  <c r="A201"/>
  <c r="A199"/>
  <c r="A197"/>
  <c r="A195"/>
  <c r="A193"/>
  <c r="A191"/>
  <c r="A189"/>
  <c r="A187"/>
  <c r="A185"/>
  <c r="A183"/>
  <c r="A181"/>
  <c r="A179"/>
  <c r="A177"/>
  <c r="A240"/>
  <c r="A238"/>
  <c r="A236"/>
  <c r="A234"/>
  <c r="A232"/>
  <c r="A230"/>
  <c r="A228"/>
  <c r="A226"/>
  <c r="A224"/>
  <c r="A222"/>
  <c r="A220"/>
  <c r="A218"/>
  <c r="A216"/>
  <c r="A214"/>
  <c r="A212"/>
  <c r="A210"/>
  <c r="A208"/>
  <c r="A206"/>
  <c r="A204"/>
  <c r="A202"/>
  <c r="A200"/>
  <c r="A198"/>
  <c r="A196"/>
  <c r="A194"/>
  <c r="A192"/>
  <c r="A190"/>
  <c r="A188"/>
  <c r="A186"/>
  <c r="A184"/>
  <c r="A182"/>
  <c r="A180"/>
  <c r="A178"/>
  <c r="A176"/>
  <c r="AB174"/>
  <c r="AB173"/>
  <c r="AB172"/>
  <c r="AB171"/>
  <c r="AB170"/>
  <c r="AB169"/>
  <c r="AB168"/>
  <c r="AB167"/>
  <c r="AB166"/>
  <c r="AB165"/>
  <c r="AB164"/>
  <c r="AB163"/>
  <c r="AB162"/>
  <c r="AB161"/>
  <c r="AB160"/>
  <c r="AB159"/>
  <c r="AB158"/>
  <c r="AB157"/>
  <c r="AB156"/>
  <c r="AB155"/>
  <c r="AB154"/>
  <c r="AB153"/>
  <c r="AB152"/>
  <c r="AB151"/>
  <c r="AB150"/>
  <c r="AB149"/>
  <c r="AB148"/>
  <c r="AB147"/>
  <c r="AB146"/>
  <c r="AB145"/>
  <c r="AB144"/>
  <c r="AB143"/>
  <c r="AB142"/>
  <c r="AB141"/>
  <c r="AB140"/>
  <c r="AB139"/>
  <c r="AB138"/>
  <c r="AB137"/>
  <c r="AB136"/>
  <c r="AB135"/>
  <c r="AB134"/>
  <c r="AB133"/>
  <c r="AB132"/>
  <c r="AB131"/>
  <c r="AB130"/>
  <c r="AB129"/>
  <c r="AB128"/>
  <c r="AB127"/>
  <c r="AB126"/>
  <c r="AB125"/>
  <c r="AB124"/>
  <c r="AB123"/>
  <c r="AB122"/>
  <c r="AB121"/>
  <c r="AB120"/>
  <c r="AB119"/>
  <c r="AB118"/>
  <c r="AB117"/>
  <c r="AB116"/>
  <c r="AB115"/>
  <c r="AB114"/>
  <c r="AB113"/>
  <c r="AB112"/>
  <c r="AB111"/>
  <c r="AB110"/>
  <c r="AB109"/>
  <c r="AB108"/>
  <c r="AB107"/>
  <c r="AB106"/>
  <c r="AB105"/>
  <c r="AB104"/>
  <c r="AB103"/>
  <c r="AB102"/>
  <c r="AB101"/>
  <c r="AB100"/>
  <c r="AB99"/>
  <c r="AB98"/>
  <c r="AB97"/>
  <c r="AB96"/>
  <c r="AB95"/>
  <c r="AB94"/>
  <c r="AB93"/>
  <c r="AB92"/>
  <c r="AB91"/>
  <c r="AB90"/>
  <c r="AB89"/>
  <c r="AB88"/>
  <c r="AB87"/>
  <c r="AB86"/>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3"/>
  <c r="AB12"/>
  <c r="AB11"/>
  <c r="AB10"/>
  <c r="AB9"/>
  <c r="AB8"/>
  <c r="AB7"/>
  <c r="AB6"/>
  <c r="AB5"/>
  <c r="AB4"/>
  <c r="A3" l="1"/>
  <c r="K3" s="1"/>
  <c r="B7" i="11" s="1"/>
  <c r="A277" i="12"/>
  <c r="AB3"/>
  <c r="L3"/>
  <c r="S3"/>
  <c r="O3" l="1"/>
  <c r="P3" s="1"/>
  <c r="O4" i="11"/>
  <c r="O3" s="1"/>
  <c r="L30" s="1"/>
  <c r="L31"/>
  <c r="R3"/>
  <c r="B5"/>
  <c r="M3" i="12"/>
  <c r="X3" s="1"/>
  <c r="L3" i="11" l="1"/>
  <c r="E7"/>
  <c r="A16" s="1"/>
  <c r="F44" l="1"/>
  <c r="L33"/>
  <c r="F43"/>
  <c r="F46" s="1"/>
  <c r="L35" l="1"/>
  <c r="M37"/>
  <c r="L37" s="1"/>
  <c r="F47"/>
  <c r="F48"/>
  <c r="F49" s="1"/>
  <c r="F50" l="1"/>
  <c r="F51" s="1"/>
  <c r="F52"/>
  <c r="E35" s="1"/>
</calcChain>
</file>

<file path=xl/sharedStrings.xml><?xml version="1.0" encoding="utf-8"?>
<sst xmlns="http://schemas.openxmlformats.org/spreadsheetml/2006/main" count="1111" uniqueCount="419">
  <si>
    <t>破壊力</t>
    <rPh sb="0" eb="3">
      <t>ハカイリョク</t>
    </rPh>
    <phoneticPr fontId="1"/>
  </si>
  <si>
    <t>表示攻撃力</t>
    <rPh sb="0" eb="2">
      <t>ヒョウジ</t>
    </rPh>
    <rPh sb="2" eb="5">
      <t>コウゲキリョク</t>
    </rPh>
    <phoneticPr fontId="1"/>
  </si>
  <si>
    <t>体力+技術(フリーポイント分含む)</t>
    <rPh sb="0" eb="2">
      <t>タイリョク</t>
    </rPh>
    <rPh sb="3" eb="5">
      <t>ギジュツ</t>
    </rPh>
    <rPh sb="13" eb="14">
      <t>ブン</t>
    </rPh>
    <rPh sb="14" eb="15">
      <t>フク</t>
    </rPh>
    <phoneticPr fontId="1"/>
  </si>
  <si>
    <t>クリ</t>
    <phoneticPr fontId="1"/>
  </si>
  <si>
    <t>体力</t>
    <rPh sb="0" eb="2">
      <t>タイリョク</t>
    </rPh>
    <phoneticPr fontId="1"/>
  </si>
  <si>
    <t>技術</t>
    <rPh sb="0" eb="2">
      <t>ギジュツ</t>
    </rPh>
    <phoneticPr fontId="1"/>
  </si>
  <si>
    <t>クリ率</t>
    <rPh sb="2" eb="3">
      <t>リツ</t>
    </rPh>
    <phoneticPr fontId="1"/>
  </si>
  <si>
    <t>クリ時威力倍率</t>
    <rPh sb="2" eb="3">
      <t>ジ</t>
    </rPh>
    <rPh sb="3" eb="5">
      <t>イリョク</t>
    </rPh>
    <rPh sb="5" eb="7">
      <t>バイリツ</t>
    </rPh>
    <phoneticPr fontId="1"/>
  </si>
  <si>
    <t>致命打撃</t>
    <rPh sb="0" eb="2">
      <t>チメイ</t>
    </rPh>
    <rPh sb="2" eb="4">
      <t>ダゲキ</t>
    </rPh>
    <phoneticPr fontId="1"/>
  </si>
  <si>
    <t>全力攻撃</t>
    <rPh sb="0" eb="2">
      <t>ゼンリョク</t>
    </rPh>
    <rPh sb="2" eb="4">
      <t>コウゲキ</t>
    </rPh>
    <phoneticPr fontId="1"/>
  </si>
  <si>
    <t>サイズ補正</t>
    <rPh sb="3" eb="5">
      <t>ホセイ</t>
    </rPh>
    <phoneticPr fontId="1"/>
  </si>
  <si>
    <t>一振り当たり発揮攻撃力</t>
    <rPh sb="0" eb="2">
      <t>ヒトフ</t>
    </rPh>
    <rPh sb="3" eb="4">
      <t>ア</t>
    </rPh>
    <rPh sb="6" eb="8">
      <t>ハッキ</t>
    </rPh>
    <rPh sb="8" eb="11">
      <t>コウゲキリョク</t>
    </rPh>
    <phoneticPr fontId="1"/>
  </si>
  <si>
    <t>照準打撃</t>
    <rPh sb="0" eb="2">
      <t>ショウジュン</t>
    </rPh>
    <rPh sb="2" eb="4">
      <t>ダゲキ</t>
    </rPh>
    <phoneticPr fontId="1"/>
  </si>
  <si>
    <t>知能</t>
    <rPh sb="0" eb="2">
      <t>チノウ</t>
    </rPh>
    <phoneticPr fontId="1"/>
  </si>
  <si>
    <t>速度</t>
    <rPh sb="0" eb="2">
      <t>ソクド</t>
    </rPh>
    <phoneticPr fontId="1"/>
  </si>
  <si>
    <t>LV</t>
    <phoneticPr fontId="1"/>
  </si>
  <si>
    <t>デス斧ｃｒｔ</t>
    <rPh sb="2" eb="3">
      <t>オノ</t>
    </rPh>
    <phoneticPr fontId="1"/>
  </si>
  <si>
    <t>デス剣ｃｒｔ</t>
    <rPh sb="2" eb="3">
      <t>ケン</t>
    </rPh>
    <phoneticPr fontId="1"/>
  </si>
  <si>
    <t>打撃攻撃</t>
    <rPh sb="0" eb="2">
      <t>ダゲキ</t>
    </rPh>
    <rPh sb="2" eb="4">
      <t>コウゲキ</t>
    </rPh>
    <phoneticPr fontId="1"/>
  </si>
  <si>
    <t>ポイント合計</t>
    <rPh sb="4" eb="6">
      <t>ゴウケイ</t>
    </rPh>
    <phoneticPr fontId="1"/>
  </si>
  <si>
    <t>元々のポイント</t>
    <rPh sb="0" eb="2">
      <t>モトモト</t>
    </rPh>
    <phoneticPr fontId="1"/>
  </si>
  <si>
    <t>ボーナスポイント合計</t>
    <rPh sb="8" eb="10">
      <t>ゴウケイ</t>
    </rPh>
    <phoneticPr fontId="1"/>
  </si>
  <si>
    <t>持久</t>
    <rPh sb="0" eb="2">
      <t>ジキュウ</t>
    </rPh>
    <phoneticPr fontId="1"/>
  </si>
  <si>
    <t>生命</t>
    <rPh sb="0" eb="2">
      <t>セイメイ</t>
    </rPh>
    <phoneticPr fontId="1"/>
  </si>
  <si>
    <t>合計</t>
    <rPh sb="0" eb="2">
      <t>ゴウケイ</t>
    </rPh>
    <phoneticPr fontId="1"/>
  </si>
  <si>
    <t>武器</t>
    <rPh sb="0" eb="2">
      <t>ブキ</t>
    </rPh>
    <phoneticPr fontId="1"/>
  </si>
  <si>
    <t>10剣</t>
    <rPh sb="2" eb="3">
      <t>ケン</t>
    </rPh>
    <phoneticPr fontId="1"/>
  </si>
  <si>
    <t>ノテ剣</t>
    <rPh sb="2" eb="3">
      <t>ケン</t>
    </rPh>
    <phoneticPr fontId="1"/>
  </si>
  <si>
    <t>ノテ斧</t>
    <rPh sb="2" eb="3">
      <t>オノ</t>
    </rPh>
    <phoneticPr fontId="1"/>
  </si>
  <si>
    <t>ノテ剣ｃｒｔ</t>
    <rPh sb="2" eb="3">
      <t>ケン</t>
    </rPh>
    <phoneticPr fontId="1"/>
  </si>
  <si>
    <t>ノテ斧ｃｒｔ</t>
    <rPh sb="2" eb="3">
      <t>オノ</t>
    </rPh>
    <phoneticPr fontId="1"/>
  </si>
  <si>
    <t>デス剣</t>
    <rPh sb="2" eb="3">
      <t>ケン</t>
    </rPh>
    <phoneticPr fontId="1"/>
  </si>
  <si>
    <t>デス斧</t>
    <rPh sb="2" eb="3">
      <t>オノ</t>
    </rPh>
    <phoneticPr fontId="1"/>
  </si>
  <si>
    <t>名前</t>
    <rPh sb="0" eb="2">
      <t>ナマエ</t>
    </rPh>
    <phoneticPr fontId="1"/>
  </si>
  <si>
    <t>種別</t>
    <rPh sb="0" eb="2">
      <t>シュベツ</t>
    </rPh>
    <phoneticPr fontId="1"/>
  </si>
  <si>
    <t>命中</t>
    <rPh sb="0" eb="2">
      <t>メイチュウ</t>
    </rPh>
    <phoneticPr fontId="1"/>
  </si>
  <si>
    <t>リーチ</t>
    <phoneticPr fontId="1"/>
  </si>
  <si>
    <t>等級</t>
    <rPh sb="0" eb="2">
      <t>トウキュウ</t>
    </rPh>
    <phoneticPr fontId="1"/>
  </si>
  <si>
    <t>分類</t>
    <rPh sb="0" eb="2">
      <t>ブンルイ</t>
    </rPh>
    <phoneticPr fontId="1"/>
  </si>
  <si>
    <t>10剣ｃｒｔ</t>
    <rPh sb="2" eb="3">
      <t>ケン</t>
    </rPh>
    <phoneticPr fontId="1"/>
  </si>
  <si>
    <t>通常武器</t>
    <rPh sb="0" eb="2">
      <t>ツウジョウ</t>
    </rPh>
    <rPh sb="2" eb="4">
      <t>ブキ</t>
    </rPh>
    <phoneticPr fontId="1"/>
  </si>
  <si>
    <t>ユニーク</t>
    <phoneticPr fontId="1"/>
  </si>
  <si>
    <t>11剣</t>
    <rPh sb="2" eb="3">
      <t>ケン</t>
    </rPh>
    <phoneticPr fontId="1"/>
  </si>
  <si>
    <t>10斧</t>
    <rPh sb="2" eb="3">
      <t>オノ</t>
    </rPh>
    <phoneticPr fontId="1"/>
  </si>
  <si>
    <t>11斧</t>
    <rPh sb="2" eb="3">
      <t>オノ</t>
    </rPh>
    <phoneticPr fontId="1"/>
  </si>
  <si>
    <t>10斧ｃｒｔ</t>
    <rPh sb="2" eb="3">
      <t>オノ</t>
    </rPh>
    <phoneticPr fontId="1"/>
  </si>
  <si>
    <t>カウンターアタック発生率</t>
    <rPh sb="9" eb="11">
      <t>ハッセイ</t>
    </rPh>
    <rPh sb="11" eb="12">
      <t>リツ</t>
    </rPh>
    <phoneticPr fontId="1"/>
  </si>
  <si>
    <t>発火効果率</t>
    <rPh sb="0" eb="2">
      <t>ハッカ</t>
    </rPh>
    <rPh sb="2" eb="4">
      <t>コウカ</t>
    </rPh>
    <rPh sb="4" eb="5">
      <t>リツ</t>
    </rPh>
    <phoneticPr fontId="1"/>
  </si>
  <si>
    <t>本体</t>
    <rPh sb="0" eb="2">
      <t>ホンタイ</t>
    </rPh>
    <phoneticPr fontId="1"/>
  </si>
  <si>
    <t>刀身</t>
    <rPh sb="0" eb="2">
      <t>トウシン</t>
    </rPh>
    <phoneticPr fontId="1"/>
  </si>
  <si>
    <t>重量</t>
    <rPh sb="0" eb="2">
      <t>ジュウリョウ</t>
    </rPh>
    <phoneticPr fontId="1"/>
  </si>
  <si>
    <t>赤剣</t>
    <rPh sb="0" eb="1">
      <t>アカ</t>
    </rPh>
    <rPh sb="1" eb="2">
      <t>ケン</t>
    </rPh>
    <phoneticPr fontId="1"/>
  </si>
  <si>
    <t>試作1剣</t>
    <rPh sb="0" eb="2">
      <t>シサク</t>
    </rPh>
    <rPh sb="3" eb="4">
      <t>ケン</t>
    </rPh>
    <phoneticPr fontId="1"/>
  </si>
  <si>
    <t>試作2剣</t>
    <rPh sb="0" eb="2">
      <t>シサク</t>
    </rPh>
    <rPh sb="3" eb="4">
      <t>ケン</t>
    </rPh>
    <phoneticPr fontId="1"/>
  </si>
  <si>
    <t>違法9剣</t>
    <rPh sb="0" eb="2">
      <t>イホウ</t>
    </rPh>
    <rPh sb="3" eb="4">
      <t>ケン</t>
    </rPh>
    <phoneticPr fontId="1"/>
  </si>
  <si>
    <t>貝斧</t>
    <rPh sb="0" eb="1">
      <t>カイ</t>
    </rPh>
    <rPh sb="1" eb="2">
      <t>オノ</t>
    </rPh>
    <phoneticPr fontId="1"/>
  </si>
  <si>
    <t>違法武器</t>
    <rPh sb="0" eb="2">
      <t>イホウ</t>
    </rPh>
    <rPh sb="2" eb="4">
      <t>ブキ</t>
    </rPh>
    <phoneticPr fontId="1"/>
  </si>
  <si>
    <t>剣</t>
    <rPh sb="0" eb="1">
      <t>ケン</t>
    </rPh>
    <phoneticPr fontId="1"/>
  </si>
  <si>
    <t>斧</t>
    <rPh sb="0" eb="1">
      <t>オノ</t>
    </rPh>
    <phoneticPr fontId="1"/>
  </si>
  <si>
    <t>サイズ</t>
    <phoneticPr fontId="1"/>
  </si>
  <si>
    <t>小</t>
    <rPh sb="0" eb="1">
      <t>ショウ</t>
    </rPh>
    <phoneticPr fontId="1"/>
  </si>
  <si>
    <t>中</t>
    <rPh sb="0" eb="1">
      <t>チュウ</t>
    </rPh>
    <phoneticPr fontId="1"/>
  </si>
  <si>
    <t>必要速度</t>
    <rPh sb="0" eb="2">
      <t>ヒツヨウ</t>
    </rPh>
    <rPh sb="2" eb="4">
      <t>ソクド</t>
    </rPh>
    <phoneticPr fontId="1"/>
  </si>
  <si>
    <t>分発</t>
    <rPh sb="0" eb="1">
      <t>フン</t>
    </rPh>
    <rPh sb="1" eb="2">
      <t>ハツ</t>
    </rPh>
    <phoneticPr fontId="1"/>
  </si>
  <si>
    <t>ツバ</t>
    <phoneticPr fontId="1"/>
  </si>
  <si>
    <t>改造込</t>
    <rPh sb="0" eb="2">
      <t>カイゾウ</t>
    </rPh>
    <rPh sb="2" eb="3">
      <t>コミ</t>
    </rPh>
    <phoneticPr fontId="1"/>
  </si>
  <si>
    <t>武器クリ</t>
    <rPh sb="0" eb="2">
      <t>ブキ</t>
    </rPh>
    <phoneticPr fontId="1"/>
  </si>
  <si>
    <t>武器命中</t>
    <rPh sb="0" eb="2">
      <t>ブキ</t>
    </rPh>
    <rPh sb="2" eb="4">
      <t>メイチュウ</t>
    </rPh>
    <phoneticPr fontId="1"/>
  </si>
  <si>
    <t>プロ</t>
  </si>
  <si>
    <t>プロ</t>
    <phoneticPr fontId="1"/>
  </si>
  <si>
    <t>名人</t>
    <rPh sb="0" eb="2">
      <t>メイジン</t>
    </rPh>
    <phoneticPr fontId="1"/>
  </si>
  <si>
    <t>匠</t>
    <rPh sb="0" eb="1">
      <t>タクミ</t>
    </rPh>
    <phoneticPr fontId="1"/>
  </si>
  <si>
    <t>持久力</t>
    <rPh sb="0" eb="3">
      <t>ジキュウリョク</t>
    </rPh>
    <phoneticPr fontId="1"/>
  </si>
  <si>
    <t>行動力</t>
    <rPh sb="0" eb="2">
      <t>コウドウ</t>
    </rPh>
    <rPh sb="2" eb="3">
      <t>リョク</t>
    </rPh>
    <phoneticPr fontId="1"/>
  </si>
  <si>
    <t>必要速度目安</t>
    <rPh sb="0" eb="2">
      <t>ヒツヨウ</t>
    </rPh>
    <rPh sb="2" eb="4">
      <t>ソクド</t>
    </rPh>
    <rPh sb="4" eb="6">
      <t>メヤス</t>
    </rPh>
    <phoneticPr fontId="1"/>
  </si>
  <si>
    <t>防具</t>
    <rPh sb="0" eb="2">
      <t>ボウグ</t>
    </rPh>
    <phoneticPr fontId="1"/>
  </si>
  <si>
    <t>帽子</t>
    <rPh sb="0" eb="2">
      <t>ボウシ</t>
    </rPh>
    <phoneticPr fontId="1"/>
  </si>
  <si>
    <t>ストッキング</t>
    <phoneticPr fontId="1"/>
  </si>
  <si>
    <t>靴</t>
    <rPh sb="0" eb="1">
      <t>クツ</t>
    </rPh>
    <phoneticPr fontId="1"/>
  </si>
  <si>
    <t>材質</t>
    <rPh sb="0" eb="2">
      <t>ザイシツ</t>
    </rPh>
    <phoneticPr fontId="1"/>
  </si>
  <si>
    <t>コテ</t>
    <phoneticPr fontId="1"/>
  </si>
  <si>
    <t>厚さ</t>
    <rPh sb="0" eb="1">
      <t>アツ</t>
    </rPh>
    <phoneticPr fontId="1"/>
  </si>
  <si>
    <t>一般</t>
    <rPh sb="0" eb="2">
      <t>イッパン</t>
    </rPh>
    <phoneticPr fontId="1"/>
  </si>
  <si>
    <t>アマ</t>
    <phoneticPr fontId="1"/>
  </si>
  <si>
    <t>セミ</t>
    <phoneticPr fontId="1"/>
  </si>
  <si>
    <t>防御力</t>
    <rPh sb="0" eb="3">
      <t>ボウギョリョク</t>
    </rPh>
    <phoneticPr fontId="1"/>
  </si>
  <si>
    <t>合計値</t>
    <rPh sb="0" eb="2">
      <t>ゴウケイ</t>
    </rPh>
    <rPh sb="2" eb="3">
      <t>チ</t>
    </rPh>
    <phoneticPr fontId="1"/>
  </si>
  <si>
    <t>改造込</t>
    <rPh sb="0" eb="3">
      <t>カイゾウコミ</t>
    </rPh>
    <phoneticPr fontId="1"/>
  </si>
  <si>
    <t>合計値</t>
    <rPh sb="0" eb="3">
      <t>ゴウケイチ</t>
    </rPh>
    <phoneticPr fontId="1"/>
  </si>
  <si>
    <t>回避力</t>
    <rPh sb="0" eb="2">
      <t>カイヒ</t>
    </rPh>
    <rPh sb="2" eb="3">
      <t>リョク</t>
    </rPh>
    <phoneticPr fontId="1"/>
  </si>
  <si>
    <t>属性防御</t>
    <rPh sb="0" eb="2">
      <t>ゾクセイ</t>
    </rPh>
    <rPh sb="2" eb="4">
      <t>ボウギョ</t>
    </rPh>
    <phoneticPr fontId="1"/>
  </si>
  <si>
    <t>盾</t>
    <rPh sb="0" eb="1">
      <t>タテ</t>
    </rPh>
    <phoneticPr fontId="1"/>
  </si>
  <si>
    <t>回避</t>
    <rPh sb="0" eb="2">
      <t>カイヒ</t>
    </rPh>
    <phoneticPr fontId="1"/>
  </si>
  <si>
    <t>ジャンプ消費</t>
    <rPh sb="4" eb="6">
      <t>ショウヒ</t>
    </rPh>
    <phoneticPr fontId="1"/>
  </si>
  <si>
    <t>ジャンプ回数</t>
    <rPh sb="4" eb="6">
      <t>カイスウ</t>
    </rPh>
    <phoneticPr fontId="1"/>
  </si>
  <si>
    <t>所持アイテム数</t>
    <rPh sb="0" eb="2">
      <t>ショジ</t>
    </rPh>
    <rPh sb="6" eb="7">
      <t>スウ</t>
    </rPh>
    <phoneticPr fontId="1"/>
  </si>
  <si>
    <t>所持重量</t>
    <rPh sb="0" eb="2">
      <t>ショジ</t>
    </rPh>
    <rPh sb="2" eb="4">
      <t>ジュウリョウ</t>
    </rPh>
    <phoneticPr fontId="1"/>
  </si>
  <si>
    <t>最大所持重量</t>
    <rPh sb="0" eb="2">
      <t>サイダイ</t>
    </rPh>
    <rPh sb="2" eb="4">
      <t>ショジ</t>
    </rPh>
    <rPh sb="4" eb="6">
      <t>ジュウリョウ</t>
    </rPh>
    <phoneticPr fontId="1"/>
  </si>
  <si>
    <t>コス</t>
    <phoneticPr fontId="1"/>
  </si>
  <si>
    <t>翼</t>
    <rPh sb="0" eb="1">
      <t>ツバサ</t>
    </rPh>
    <phoneticPr fontId="1"/>
  </si>
  <si>
    <t>装備品</t>
    <rPh sb="0" eb="3">
      <t>ソウビヒン</t>
    </rPh>
    <phoneticPr fontId="1"/>
  </si>
  <si>
    <t>数</t>
    <rPh sb="0" eb="1">
      <t>カズ</t>
    </rPh>
    <phoneticPr fontId="1"/>
  </si>
  <si>
    <t>食糧</t>
    <rPh sb="0" eb="2">
      <t>ショクリョウ</t>
    </rPh>
    <phoneticPr fontId="1"/>
  </si>
  <si>
    <t>移動速度</t>
    <rPh sb="0" eb="2">
      <t>イドウ</t>
    </rPh>
    <rPh sb="2" eb="4">
      <t>ソクド</t>
    </rPh>
    <phoneticPr fontId="1"/>
  </si>
  <si>
    <t>防御倍率</t>
    <rPh sb="0" eb="2">
      <t>ボウギョ</t>
    </rPh>
    <rPh sb="2" eb="4">
      <t>バイリツ</t>
    </rPh>
    <phoneticPr fontId="1"/>
  </si>
  <si>
    <t>移動倍率</t>
    <rPh sb="0" eb="2">
      <t>イドウ</t>
    </rPh>
    <rPh sb="2" eb="4">
      <t>バイリツ</t>
    </rPh>
    <phoneticPr fontId="1"/>
  </si>
  <si>
    <t>重量効果</t>
    <rPh sb="0" eb="2">
      <t>ジュウリョウ</t>
    </rPh>
    <rPh sb="2" eb="4">
      <t>コウカ</t>
    </rPh>
    <phoneticPr fontId="1"/>
  </si>
  <si>
    <t>意識回復</t>
    <rPh sb="0" eb="2">
      <t>イシキ</t>
    </rPh>
    <rPh sb="2" eb="4">
      <t>カイフク</t>
    </rPh>
    <phoneticPr fontId="1"/>
  </si>
  <si>
    <t>攻撃力</t>
    <rPh sb="0" eb="3">
      <t>コウゲキリョク</t>
    </rPh>
    <phoneticPr fontId="1"/>
  </si>
  <si>
    <t>重量１グッズ</t>
    <rPh sb="0" eb="2">
      <t>ジュウリョウ</t>
    </rPh>
    <phoneticPr fontId="1"/>
  </si>
  <si>
    <t>実移動速度</t>
    <rPh sb="0" eb="1">
      <t>ジツ</t>
    </rPh>
    <rPh sb="1" eb="3">
      <t>イドウ</t>
    </rPh>
    <rPh sb="3" eb="5">
      <t>ソクド</t>
    </rPh>
    <phoneticPr fontId="1"/>
  </si>
  <si>
    <t>カウンター率</t>
    <rPh sb="5" eb="6">
      <t>リツ</t>
    </rPh>
    <phoneticPr fontId="1"/>
  </si>
  <si>
    <t>アクティブスキル</t>
    <phoneticPr fontId="1"/>
  </si>
  <si>
    <t>武器熟練スキル</t>
    <rPh sb="0" eb="2">
      <t>ブキ</t>
    </rPh>
    <rPh sb="2" eb="4">
      <t>ジュクレン</t>
    </rPh>
    <phoneticPr fontId="1"/>
  </si>
  <si>
    <t>クリティカル率</t>
    <rPh sb="6" eb="7">
      <t>リツ</t>
    </rPh>
    <phoneticPr fontId="1"/>
  </si>
  <si>
    <t>パッシヴスキル</t>
    <phoneticPr fontId="1"/>
  </si>
  <si>
    <t>一振り当たり威力</t>
    <rPh sb="0" eb="2">
      <t>ヒトフ</t>
    </rPh>
    <rPh sb="3" eb="4">
      <t>ア</t>
    </rPh>
    <rPh sb="6" eb="8">
      <t>イリョク</t>
    </rPh>
    <phoneticPr fontId="1"/>
  </si>
  <si>
    <t>敵サイズ</t>
    <rPh sb="0" eb="1">
      <t>テキ</t>
    </rPh>
    <phoneticPr fontId="1"/>
  </si>
  <si>
    <t>分間攻撃回数</t>
    <rPh sb="0" eb="2">
      <t>フンカン</t>
    </rPh>
    <rPh sb="2" eb="4">
      <t>コウゲキ</t>
    </rPh>
    <rPh sb="4" eb="6">
      <t>カイスウ</t>
    </rPh>
    <phoneticPr fontId="1"/>
  </si>
  <si>
    <t>分間行動値消費</t>
    <rPh sb="0" eb="2">
      <t>フンカン</t>
    </rPh>
    <rPh sb="2" eb="4">
      <t>コウドウ</t>
    </rPh>
    <rPh sb="4" eb="5">
      <t>チ</t>
    </rPh>
    <rPh sb="5" eb="7">
      <t>ショウヒ</t>
    </rPh>
    <phoneticPr fontId="1"/>
  </si>
  <si>
    <t>分間行動値回復</t>
    <rPh sb="0" eb="2">
      <t>フンカン</t>
    </rPh>
    <rPh sb="2" eb="4">
      <t>コウドウ</t>
    </rPh>
    <rPh sb="4" eb="5">
      <t>チ</t>
    </rPh>
    <rPh sb="5" eb="7">
      <t>カイフク</t>
    </rPh>
    <phoneticPr fontId="1"/>
  </si>
  <si>
    <t>（対ボス・アサルト・キューブなどはこの半分）</t>
    <rPh sb="1" eb="2">
      <t>タイ</t>
    </rPh>
    <rPh sb="19" eb="21">
      <t>ハンブン</t>
    </rPh>
    <phoneticPr fontId="1"/>
  </si>
  <si>
    <t>衣服(上)</t>
    <rPh sb="0" eb="2">
      <t>イフク</t>
    </rPh>
    <rPh sb="3" eb="4">
      <t>ウエ</t>
    </rPh>
    <phoneticPr fontId="1"/>
  </si>
  <si>
    <t>男</t>
    <rPh sb="0" eb="1">
      <t>オトコ</t>
    </rPh>
    <phoneticPr fontId="1"/>
  </si>
  <si>
    <t>オリカウ</t>
    <phoneticPr fontId="1"/>
  </si>
  <si>
    <t>性別</t>
    <rPh sb="0" eb="2">
      <t>セイベツ</t>
    </rPh>
    <phoneticPr fontId="1"/>
  </si>
  <si>
    <t>モダカウ</t>
    <phoneticPr fontId="1"/>
  </si>
  <si>
    <t>女</t>
    <rPh sb="0" eb="1">
      <t>オンナ</t>
    </rPh>
    <phoneticPr fontId="1"/>
  </si>
  <si>
    <t>衣服(下)</t>
    <rPh sb="0" eb="2">
      <t>イフク</t>
    </rPh>
    <rPh sb="3" eb="4">
      <t>シタ</t>
    </rPh>
    <phoneticPr fontId="1"/>
  </si>
  <si>
    <t>ドレス</t>
    <phoneticPr fontId="1"/>
  </si>
  <si>
    <t>白ドレス</t>
    <rPh sb="0" eb="1">
      <t>シロ</t>
    </rPh>
    <phoneticPr fontId="1"/>
  </si>
  <si>
    <t>黒ドレス</t>
    <rPh sb="0" eb="1">
      <t>クロ</t>
    </rPh>
    <phoneticPr fontId="1"/>
  </si>
  <si>
    <t>ストッキング</t>
    <phoneticPr fontId="1"/>
  </si>
  <si>
    <t>白レース</t>
    <rPh sb="0" eb="1">
      <t>シロ</t>
    </rPh>
    <phoneticPr fontId="1"/>
  </si>
  <si>
    <t>黒レース</t>
    <rPh sb="0" eb="1">
      <t>クロ</t>
    </rPh>
    <phoneticPr fontId="1"/>
  </si>
  <si>
    <t>感染服</t>
    <rPh sb="0" eb="2">
      <t>カンセン</t>
    </rPh>
    <rPh sb="2" eb="3">
      <t>フク</t>
    </rPh>
    <phoneticPr fontId="1"/>
  </si>
  <si>
    <t>ジャケット</t>
    <phoneticPr fontId="1"/>
  </si>
  <si>
    <t>かつら</t>
    <phoneticPr fontId="1"/>
  </si>
  <si>
    <t>移動コス</t>
    <rPh sb="0" eb="2">
      <t>イドウ</t>
    </rPh>
    <phoneticPr fontId="1"/>
  </si>
  <si>
    <t>スレイブ雇用契約書</t>
    <rPh sb="4" eb="6">
      <t>コヨウ</t>
    </rPh>
    <rPh sb="6" eb="9">
      <t>ケイヤクショ</t>
    </rPh>
    <phoneticPr fontId="1"/>
  </si>
  <si>
    <t>性別</t>
    <rPh sb="0" eb="2">
      <t>セイベツ</t>
    </rPh>
    <phoneticPr fontId="1"/>
  </si>
  <si>
    <t>男</t>
    <rPh sb="0" eb="1">
      <t>オトコ</t>
    </rPh>
    <phoneticPr fontId="1"/>
  </si>
  <si>
    <t>男性</t>
    <rPh sb="0" eb="2">
      <t>ダンセイ</t>
    </rPh>
    <phoneticPr fontId="1"/>
  </si>
  <si>
    <t>女性</t>
    <rPh sb="0" eb="2">
      <t>ジョセイ</t>
    </rPh>
    <phoneticPr fontId="1"/>
  </si>
  <si>
    <t>男10服</t>
    <rPh sb="0" eb="1">
      <t>オトコ</t>
    </rPh>
    <rPh sb="3" eb="4">
      <t>フク</t>
    </rPh>
    <phoneticPr fontId="1"/>
  </si>
  <si>
    <t>男11服</t>
    <rPh sb="0" eb="1">
      <t>オトコ</t>
    </rPh>
    <rPh sb="3" eb="4">
      <t>フク</t>
    </rPh>
    <phoneticPr fontId="1"/>
  </si>
  <si>
    <t>女11服</t>
    <rPh sb="0" eb="1">
      <t>オンナ</t>
    </rPh>
    <rPh sb="3" eb="4">
      <t>フク</t>
    </rPh>
    <phoneticPr fontId="1"/>
  </si>
  <si>
    <t>女10服</t>
    <rPh sb="0" eb="1">
      <t>オンナ</t>
    </rPh>
    <rPh sb="3" eb="4">
      <t>フク</t>
    </rPh>
    <phoneticPr fontId="1"/>
  </si>
  <si>
    <t>男Ｂスーツ</t>
    <rPh sb="0" eb="1">
      <t>オトコ</t>
    </rPh>
    <phoneticPr fontId="1"/>
  </si>
  <si>
    <t>男Ａスーツ</t>
    <rPh sb="0" eb="1">
      <t>オトコ</t>
    </rPh>
    <phoneticPr fontId="1"/>
  </si>
  <si>
    <t>男Ｓスーツ</t>
    <rPh sb="0" eb="1">
      <t>オトコ</t>
    </rPh>
    <phoneticPr fontId="1"/>
  </si>
  <si>
    <t>男ＳＳスーツ</t>
    <rPh sb="0" eb="1">
      <t>オトコ</t>
    </rPh>
    <phoneticPr fontId="1"/>
  </si>
  <si>
    <t>女Ｂスーツ</t>
    <rPh sb="0" eb="1">
      <t>オンナ</t>
    </rPh>
    <phoneticPr fontId="1"/>
  </si>
  <si>
    <t>女Ａスーツ</t>
    <rPh sb="0" eb="1">
      <t>オンナ</t>
    </rPh>
    <phoneticPr fontId="1"/>
  </si>
  <si>
    <t>女Ｓスーツ</t>
    <rPh sb="0" eb="1">
      <t>オンナ</t>
    </rPh>
    <phoneticPr fontId="1"/>
  </si>
  <si>
    <t>女ＳＳスーツ</t>
    <rPh sb="0" eb="1">
      <t>オンナ</t>
    </rPh>
    <phoneticPr fontId="1"/>
  </si>
  <si>
    <t>衣服(上)不可</t>
    <rPh sb="0" eb="2">
      <t>イフク</t>
    </rPh>
    <rPh sb="3" eb="4">
      <t>ウエ</t>
    </rPh>
    <rPh sb="5" eb="7">
      <t>フカ</t>
    </rPh>
    <phoneticPr fontId="1"/>
  </si>
  <si>
    <t>なし</t>
  </si>
  <si>
    <t>なし</t>
    <phoneticPr fontId="1"/>
  </si>
  <si>
    <t>他の衣服不可</t>
    <rPh sb="0" eb="1">
      <t>ホカ</t>
    </rPh>
    <rPh sb="2" eb="4">
      <t>イフク</t>
    </rPh>
    <rPh sb="4" eb="6">
      <t>フカ</t>
    </rPh>
    <phoneticPr fontId="1"/>
  </si>
  <si>
    <t>-</t>
    <phoneticPr fontId="1"/>
  </si>
  <si>
    <t>盾</t>
    <rPh sb="0" eb="1">
      <t>タテ</t>
    </rPh>
    <phoneticPr fontId="1"/>
  </si>
  <si>
    <t>属性防御</t>
    <rPh sb="0" eb="2">
      <t>ゾクセイ</t>
    </rPh>
    <rPh sb="2" eb="4">
      <t>ボウギョ</t>
    </rPh>
    <phoneticPr fontId="1"/>
  </si>
  <si>
    <t>回避</t>
    <rPh sb="0" eb="2">
      <t>カイヒ</t>
    </rPh>
    <phoneticPr fontId="1"/>
  </si>
  <si>
    <t>重量</t>
    <rPh sb="0" eb="2">
      <t>ジュウリョウ</t>
    </rPh>
    <phoneticPr fontId="1"/>
  </si>
  <si>
    <t>コス</t>
    <phoneticPr fontId="1"/>
  </si>
  <si>
    <t>基準速度</t>
    <rPh sb="0" eb="2">
      <t>キジュン</t>
    </rPh>
    <rPh sb="2" eb="4">
      <t>ソクド</t>
    </rPh>
    <phoneticPr fontId="1"/>
  </si>
  <si>
    <t>7盾</t>
    <rPh sb="1" eb="2">
      <t>タテ</t>
    </rPh>
    <phoneticPr fontId="1"/>
  </si>
  <si>
    <t>8盾</t>
    <rPh sb="1" eb="2">
      <t>タテ</t>
    </rPh>
    <phoneticPr fontId="1"/>
  </si>
  <si>
    <t>9盾</t>
    <rPh sb="1" eb="2">
      <t>タテ</t>
    </rPh>
    <phoneticPr fontId="1"/>
  </si>
  <si>
    <t>10盾</t>
    <rPh sb="2" eb="3">
      <t>タテ</t>
    </rPh>
    <phoneticPr fontId="1"/>
  </si>
  <si>
    <t>レンタル用クマの着ぐるみ</t>
    <rPh sb="4" eb="5">
      <t>ヨウ</t>
    </rPh>
    <rPh sb="8" eb="9">
      <t>キ</t>
    </rPh>
    <phoneticPr fontId="1"/>
  </si>
  <si>
    <t>レンタル用ウサギの着ぐるみ</t>
    <rPh sb="4" eb="5">
      <t>ヨウ</t>
    </rPh>
    <rPh sb="9" eb="10">
      <t>キ</t>
    </rPh>
    <phoneticPr fontId="1"/>
  </si>
  <si>
    <t>女</t>
    <rPh sb="0" eb="1">
      <t>オンナ</t>
    </rPh>
    <phoneticPr fontId="1"/>
  </si>
  <si>
    <t>レンタルあの世の使いの服</t>
    <rPh sb="6" eb="7">
      <t>ヨ</t>
    </rPh>
    <rPh sb="8" eb="9">
      <t>ツカ</t>
    </rPh>
    <rPh sb="11" eb="12">
      <t>フク</t>
    </rPh>
    <phoneticPr fontId="1"/>
  </si>
  <si>
    <t>レンタル用狐女の服</t>
    <rPh sb="4" eb="5">
      <t>ヨウ</t>
    </rPh>
    <rPh sb="5" eb="6">
      <t>キツネ</t>
    </rPh>
    <rPh sb="6" eb="7">
      <t>オンナ</t>
    </rPh>
    <rPh sb="8" eb="9">
      <t>フク</t>
    </rPh>
    <phoneticPr fontId="1"/>
  </si>
  <si>
    <t>レンタル用忍び衣装(男)</t>
    <rPh sb="4" eb="5">
      <t>ヨウ</t>
    </rPh>
    <rPh sb="5" eb="6">
      <t>シノ</t>
    </rPh>
    <rPh sb="7" eb="9">
      <t>イショウ</t>
    </rPh>
    <rPh sb="10" eb="11">
      <t>オトコ</t>
    </rPh>
    <phoneticPr fontId="1"/>
  </si>
  <si>
    <t>レンタル用忍び衣装(女)</t>
    <rPh sb="4" eb="5">
      <t>ヨウ</t>
    </rPh>
    <rPh sb="5" eb="6">
      <t>シノ</t>
    </rPh>
    <rPh sb="7" eb="9">
      <t>イショウ</t>
    </rPh>
    <rPh sb="10" eb="11">
      <t>オンナ</t>
    </rPh>
    <phoneticPr fontId="1"/>
  </si>
  <si>
    <t>回避値</t>
    <rPh sb="0" eb="2">
      <t>カイヒ</t>
    </rPh>
    <rPh sb="2" eb="3">
      <t>アタイ</t>
    </rPh>
    <phoneticPr fontId="1"/>
  </si>
  <si>
    <t>レンタル用神官衣装(男)</t>
    <rPh sb="4" eb="5">
      <t>ヨウ</t>
    </rPh>
    <rPh sb="5" eb="7">
      <t>シンカン</t>
    </rPh>
    <rPh sb="7" eb="9">
      <t>イショウ</t>
    </rPh>
    <rPh sb="10" eb="11">
      <t>オトコ</t>
    </rPh>
    <phoneticPr fontId="1"/>
  </si>
  <si>
    <t>レンタル用神官衣装(女)</t>
    <rPh sb="4" eb="5">
      <t>ヨウ</t>
    </rPh>
    <rPh sb="5" eb="7">
      <t>シンカン</t>
    </rPh>
    <rPh sb="7" eb="9">
      <t>イショウ</t>
    </rPh>
    <rPh sb="10" eb="11">
      <t>オンナ</t>
    </rPh>
    <phoneticPr fontId="1"/>
  </si>
  <si>
    <t>レンタル用戦国武者鎧(男)</t>
    <rPh sb="4" eb="5">
      <t>ヨウ</t>
    </rPh>
    <rPh sb="5" eb="7">
      <t>センゴク</t>
    </rPh>
    <rPh sb="7" eb="9">
      <t>ムシャ</t>
    </rPh>
    <rPh sb="9" eb="10">
      <t>ヨロイ</t>
    </rPh>
    <rPh sb="11" eb="12">
      <t>オトコ</t>
    </rPh>
    <phoneticPr fontId="1"/>
  </si>
  <si>
    <t>レンタル用戦国武者鎧(女)</t>
    <rPh sb="4" eb="5">
      <t>ヨウ</t>
    </rPh>
    <rPh sb="5" eb="7">
      <t>センゴク</t>
    </rPh>
    <rPh sb="7" eb="9">
      <t>ムシャ</t>
    </rPh>
    <rPh sb="9" eb="10">
      <t>ヨロイ</t>
    </rPh>
    <rPh sb="11" eb="12">
      <t>オンナ</t>
    </rPh>
    <phoneticPr fontId="1"/>
  </si>
  <si>
    <t>惰天使の翼(黒・白)</t>
    <rPh sb="0" eb="1">
      <t>ダ</t>
    </rPh>
    <rPh sb="1" eb="3">
      <t>テンシ</t>
    </rPh>
    <rPh sb="4" eb="5">
      <t>ツバサ</t>
    </rPh>
    <rPh sb="6" eb="7">
      <t>クロ</t>
    </rPh>
    <rPh sb="8" eb="9">
      <t>シロ</t>
    </rPh>
    <phoneticPr fontId="1"/>
  </si>
  <si>
    <t>天使の羽(白・黄色)</t>
    <rPh sb="0" eb="2">
      <t>テンシ</t>
    </rPh>
    <rPh sb="3" eb="4">
      <t>ハネ</t>
    </rPh>
    <rPh sb="5" eb="6">
      <t>シロ</t>
    </rPh>
    <rPh sb="7" eb="9">
      <t>キイロ</t>
    </rPh>
    <phoneticPr fontId="1"/>
  </si>
  <si>
    <t>Crest Wing(黒)</t>
    <rPh sb="11" eb="12">
      <t>クロ</t>
    </rPh>
    <phoneticPr fontId="1"/>
  </si>
  <si>
    <t>Crest Wing(桃)</t>
    <rPh sb="11" eb="12">
      <t>モモ</t>
    </rPh>
    <phoneticPr fontId="1"/>
  </si>
  <si>
    <t>Crest Wing(青)</t>
    <rPh sb="11" eb="12">
      <t>アオ</t>
    </rPh>
    <phoneticPr fontId="1"/>
  </si>
  <si>
    <t>Crest Wing(赤)</t>
    <rPh sb="11" eb="12">
      <t>アカ</t>
    </rPh>
    <phoneticPr fontId="1"/>
  </si>
  <si>
    <t>サマー特選シャーク</t>
    <rPh sb="3" eb="5">
      <t>トクセン</t>
    </rPh>
    <phoneticPr fontId="1"/>
  </si>
  <si>
    <t>サマー特選潜水服</t>
    <rPh sb="3" eb="5">
      <t>トクセン</t>
    </rPh>
    <rPh sb="5" eb="8">
      <t>センスイフク</t>
    </rPh>
    <phoneticPr fontId="1"/>
  </si>
  <si>
    <t>ロストレンジャーレッド</t>
    <phoneticPr fontId="1"/>
  </si>
  <si>
    <t>ロストレンジャーピンク</t>
    <phoneticPr fontId="1"/>
  </si>
  <si>
    <t>ロストレンジャーブルー</t>
    <phoneticPr fontId="1"/>
  </si>
  <si>
    <t>ロストレンジャーグリーン</t>
    <phoneticPr fontId="1"/>
  </si>
  <si>
    <t>ロストレンジャーイエロー</t>
    <phoneticPr fontId="1"/>
  </si>
  <si>
    <t>戦国武者鎧(男)</t>
    <rPh sb="0" eb="2">
      <t>センゴク</t>
    </rPh>
    <rPh sb="2" eb="4">
      <t>ムシャ</t>
    </rPh>
    <rPh sb="4" eb="5">
      <t>ヨロイ</t>
    </rPh>
    <rPh sb="6" eb="7">
      <t>オトコ</t>
    </rPh>
    <phoneticPr fontId="1"/>
  </si>
  <si>
    <t>戦国武者鎧(女)</t>
    <rPh sb="0" eb="2">
      <t>センゴク</t>
    </rPh>
    <rPh sb="2" eb="4">
      <t>ムシャ</t>
    </rPh>
    <rPh sb="4" eb="5">
      <t>ヨロイ</t>
    </rPh>
    <rPh sb="6" eb="7">
      <t>オンナ</t>
    </rPh>
    <phoneticPr fontId="1"/>
  </si>
  <si>
    <t>忍者コスチューム限定カラー</t>
    <rPh sb="0" eb="2">
      <t>ニンジャ</t>
    </rPh>
    <rPh sb="8" eb="10">
      <t>ゲンテイ</t>
    </rPh>
    <phoneticPr fontId="1"/>
  </si>
  <si>
    <t>巫女コスチューム限定カラー</t>
    <rPh sb="0" eb="2">
      <t>ミコ</t>
    </rPh>
    <rPh sb="8" eb="10">
      <t>ゲンテイ</t>
    </rPh>
    <phoneticPr fontId="1"/>
  </si>
  <si>
    <t>神官衣装(男)</t>
    <rPh sb="0" eb="2">
      <t>シンカン</t>
    </rPh>
    <rPh sb="2" eb="4">
      <t>イショウ</t>
    </rPh>
    <rPh sb="5" eb="6">
      <t>オトコ</t>
    </rPh>
    <phoneticPr fontId="1"/>
  </si>
  <si>
    <t>神官衣装(女)</t>
    <rPh sb="0" eb="2">
      <t>シンカン</t>
    </rPh>
    <rPh sb="2" eb="4">
      <t>イショウ</t>
    </rPh>
    <rPh sb="5" eb="6">
      <t>オンナ</t>
    </rPh>
    <phoneticPr fontId="1"/>
  </si>
  <si>
    <t>改良型忍衣装(男)</t>
    <rPh sb="0" eb="3">
      <t>カイリョウガタ</t>
    </rPh>
    <rPh sb="3" eb="4">
      <t>シノ</t>
    </rPh>
    <rPh sb="4" eb="6">
      <t>イショウ</t>
    </rPh>
    <rPh sb="7" eb="8">
      <t>オトコ</t>
    </rPh>
    <phoneticPr fontId="1"/>
  </si>
  <si>
    <t>改良型忍衣装(女)</t>
    <rPh sb="0" eb="3">
      <t>カイリョウガタ</t>
    </rPh>
    <rPh sb="3" eb="4">
      <t>シノ</t>
    </rPh>
    <rPh sb="4" eb="6">
      <t>イショウ</t>
    </rPh>
    <rPh sb="7" eb="8">
      <t>オンナ</t>
    </rPh>
    <phoneticPr fontId="1"/>
  </si>
  <si>
    <t>最大体力</t>
    <rPh sb="0" eb="2">
      <t>サイダイ</t>
    </rPh>
    <rPh sb="2" eb="4">
      <t>タイリョク</t>
    </rPh>
    <phoneticPr fontId="1"/>
  </si>
  <si>
    <t>台東高校制服(男)</t>
    <rPh sb="0" eb="1">
      <t>ダイ</t>
    </rPh>
    <rPh sb="1" eb="2">
      <t>トウ</t>
    </rPh>
    <rPh sb="2" eb="4">
      <t>コウコウ</t>
    </rPh>
    <rPh sb="4" eb="6">
      <t>セイフク</t>
    </rPh>
    <rPh sb="7" eb="8">
      <t>オトコ</t>
    </rPh>
    <phoneticPr fontId="1"/>
  </si>
  <si>
    <t>台東高校制服(女)</t>
    <rPh sb="0" eb="1">
      <t>ダイ</t>
    </rPh>
    <rPh sb="1" eb="2">
      <t>トウ</t>
    </rPh>
    <rPh sb="2" eb="4">
      <t>コウコウ</t>
    </rPh>
    <rPh sb="4" eb="6">
      <t>セイフク</t>
    </rPh>
    <rPh sb="7" eb="8">
      <t>オンナ</t>
    </rPh>
    <phoneticPr fontId="1"/>
  </si>
  <si>
    <t>暗殺者の装束</t>
    <rPh sb="0" eb="3">
      <t>アンサツシャ</t>
    </rPh>
    <rPh sb="4" eb="6">
      <t>ショウゾク</t>
    </rPh>
    <phoneticPr fontId="1"/>
  </si>
  <si>
    <t>天女の衣</t>
    <rPh sb="0" eb="2">
      <t>テンニョ</t>
    </rPh>
    <rPh sb="3" eb="4">
      <t>コロモ</t>
    </rPh>
    <phoneticPr fontId="1"/>
  </si>
  <si>
    <t>小</t>
    <rPh sb="0" eb="1">
      <t>ショウ</t>
    </rPh>
    <phoneticPr fontId="1"/>
  </si>
  <si>
    <t>中</t>
    <rPh sb="0" eb="1">
      <t>チュウ</t>
    </rPh>
    <phoneticPr fontId="1"/>
  </si>
  <si>
    <t>大</t>
    <rPh sb="0" eb="1">
      <t>ダイ</t>
    </rPh>
    <phoneticPr fontId="1"/>
  </si>
  <si>
    <t>ステロ最速は162回</t>
    <rPh sb="3" eb="5">
      <t>サイソク</t>
    </rPh>
    <rPh sb="9" eb="10">
      <t>カイ</t>
    </rPh>
    <phoneticPr fontId="1"/>
  </si>
  <si>
    <t>ステロイド</t>
    <phoneticPr fontId="1"/>
  </si>
  <si>
    <t>どこ銀</t>
    <rPh sb="2" eb="3">
      <t>ギン</t>
    </rPh>
    <phoneticPr fontId="1"/>
  </si>
  <si>
    <t>移動up</t>
    <rPh sb="0" eb="2">
      <t>イドウ</t>
    </rPh>
    <phoneticPr fontId="1"/>
  </si>
  <si>
    <t>復活剤</t>
    <rPh sb="0" eb="2">
      <t>フッカツ</t>
    </rPh>
    <rPh sb="2" eb="3">
      <t>ザイ</t>
    </rPh>
    <phoneticPr fontId="1"/>
  </si>
  <si>
    <t>パーツ類</t>
    <rPh sb="3" eb="4">
      <t>ルイ</t>
    </rPh>
    <phoneticPr fontId="1"/>
  </si>
  <si>
    <t>その他</t>
    <rPh sb="2" eb="3">
      <t>タ</t>
    </rPh>
    <phoneticPr fontId="1"/>
  </si>
  <si>
    <t>重量アイテム</t>
    <rPh sb="0" eb="2">
      <t>ジュウリョウ</t>
    </rPh>
    <phoneticPr fontId="1"/>
  </si>
  <si>
    <t>打撃攻撃アマ</t>
    <rPh sb="0" eb="2">
      <t>ダゲキ</t>
    </rPh>
    <rPh sb="2" eb="4">
      <t>コウゲキ</t>
    </rPh>
    <phoneticPr fontId="1"/>
  </si>
  <si>
    <t>防御攻撃アマ</t>
    <rPh sb="0" eb="2">
      <t>ボウギョ</t>
    </rPh>
    <rPh sb="2" eb="4">
      <t>コウゲキ</t>
    </rPh>
    <phoneticPr fontId="1"/>
  </si>
  <si>
    <t>飛脚アマ</t>
    <rPh sb="0" eb="2">
      <t>ヒキャク</t>
    </rPh>
    <phoneticPr fontId="1"/>
  </si>
  <si>
    <t>回避攻撃アマ</t>
    <rPh sb="0" eb="2">
      <t>カイヒ</t>
    </rPh>
    <rPh sb="2" eb="4">
      <t>コウゲキ</t>
    </rPh>
    <phoneticPr fontId="1"/>
  </si>
  <si>
    <t>刀剣致命打撃</t>
    <rPh sb="0" eb="2">
      <t>トウケン</t>
    </rPh>
    <rPh sb="2" eb="4">
      <t>チメイ</t>
    </rPh>
    <rPh sb="4" eb="6">
      <t>ダゲキ</t>
    </rPh>
    <phoneticPr fontId="1"/>
  </si>
  <si>
    <t>対象武器</t>
    <rPh sb="0" eb="2">
      <t>タイショウ</t>
    </rPh>
    <rPh sb="2" eb="4">
      <t>ブキ</t>
    </rPh>
    <phoneticPr fontId="1"/>
  </si>
  <si>
    <t>分類記号</t>
    <rPh sb="0" eb="2">
      <t>ブンルイ</t>
    </rPh>
    <rPh sb="2" eb="4">
      <t>キゴウ</t>
    </rPh>
    <phoneticPr fontId="1"/>
  </si>
  <si>
    <t>サイズ記号</t>
    <rPh sb="3" eb="5">
      <t>キゴウ</t>
    </rPh>
    <phoneticPr fontId="1"/>
  </si>
  <si>
    <t>敵防御力</t>
    <rPh sb="0" eb="1">
      <t>テキ</t>
    </rPh>
    <rPh sb="1" eb="4">
      <t>ボウギョリョク</t>
    </rPh>
    <phoneticPr fontId="1"/>
  </si>
  <si>
    <t>消費行動力</t>
    <rPh sb="0" eb="2">
      <t>ショウヒ</t>
    </rPh>
    <rPh sb="2" eb="5">
      <t>コウドウリョク</t>
    </rPh>
    <phoneticPr fontId="1"/>
  </si>
  <si>
    <t>武器サイズ</t>
    <rPh sb="0" eb="2">
      <t>ブキ</t>
    </rPh>
    <phoneticPr fontId="1"/>
  </si>
  <si>
    <t>あり</t>
    <phoneticPr fontId="1"/>
  </si>
  <si>
    <t>なし</t>
    <phoneticPr fontId="1"/>
  </si>
  <si>
    <t>発火効果</t>
    <rPh sb="0" eb="2">
      <t>ハッカ</t>
    </rPh>
    <rPh sb="2" eb="4">
      <t>コウカ</t>
    </rPh>
    <phoneticPr fontId="1"/>
  </si>
  <si>
    <t>武器種別</t>
    <rPh sb="0" eb="2">
      <t>ブキ</t>
    </rPh>
    <rPh sb="2" eb="4">
      <t>シュベツ</t>
    </rPh>
    <phoneticPr fontId="1"/>
  </si>
  <si>
    <t>行動力回復上限</t>
    <rPh sb="0" eb="3">
      <t>コウドウリョク</t>
    </rPh>
    <rPh sb="3" eb="5">
      <t>カイフク</t>
    </rPh>
    <rPh sb="5" eb="7">
      <t>ジョウゲン</t>
    </rPh>
    <phoneticPr fontId="1"/>
  </si>
  <si>
    <t>一個当たり重量</t>
    <rPh sb="0" eb="2">
      <t>イッコ</t>
    </rPh>
    <rPh sb="2" eb="3">
      <t>ア</t>
    </rPh>
    <rPh sb="5" eb="7">
      <t>ジュウリョウ</t>
    </rPh>
    <phoneticPr fontId="1"/>
  </si>
  <si>
    <t>いかめし</t>
    <phoneticPr fontId="1"/>
  </si>
  <si>
    <t>上限</t>
    <rPh sb="0" eb="2">
      <t>ジョウゲン</t>
    </rPh>
    <phoneticPr fontId="1"/>
  </si>
  <si>
    <t>2006 Published by MGAME JAPAN Corp. Copyright(C)2006 Monsternet. All Rights Reserved.</t>
  </si>
  <si>
    <t>生命力</t>
    <rPh sb="0" eb="3">
      <t>セイメイリョク</t>
    </rPh>
    <phoneticPr fontId="1"/>
  </si>
  <si>
    <t>レベル</t>
    <phoneticPr fontId="1"/>
  </si>
  <si>
    <t>レベル確認</t>
    <rPh sb="3" eb="5">
      <t>カクニン</t>
    </rPh>
    <phoneticPr fontId="1"/>
  </si>
  <si>
    <t>上限確認</t>
    <rPh sb="0" eb="2">
      <t>ジョウゲン</t>
    </rPh>
    <rPh sb="2" eb="4">
      <t>カクニン</t>
    </rPh>
    <phoneticPr fontId="1"/>
  </si>
  <si>
    <t>下限確認</t>
    <rPh sb="0" eb="2">
      <t>カゲン</t>
    </rPh>
    <rPh sb="2" eb="4">
      <t>カクニン</t>
    </rPh>
    <phoneticPr fontId="1"/>
  </si>
  <si>
    <t>結果</t>
    <rPh sb="0" eb="2">
      <t>ケッカ</t>
    </rPh>
    <phoneticPr fontId="1"/>
  </si>
  <si>
    <t>2006 Published by MGAME JAPAN Corp. Copyright(C)2006 Monsternet. All Rights Reserved.</t>
    <phoneticPr fontId="1"/>
  </si>
  <si>
    <t>命中率</t>
    <rPh sb="0" eb="2">
      <t>メイチュウ</t>
    </rPh>
    <rPh sb="2" eb="3">
      <t>リツ</t>
    </rPh>
    <phoneticPr fontId="1"/>
  </si>
  <si>
    <t>100%とみなす</t>
    <phoneticPr fontId="1"/>
  </si>
  <si>
    <t>防御</t>
    <rPh sb="0" eb="2">
      <t>ボウギョ</t>
    </rPh>
    <phoneticPr fontId="1"/>
  </si>
  <si>
    <t>移動</t>
    <rPh sb="0" eb="2">
      <t>イドウ</t>
    </rPh>
    <phoneticPr fontId="1"/>
  </si>
  <si>
    <t>なし</t>
    <phoneticPr fontId="1"/>
  </si>
  <si>
    <t>あり</t>
  </si>
  <si>
    <t>鈍器全力打撃</t>
    <rPh sb="0" eb="2">
      <t>ドンキ</t>
    </rPh>
    <rPh sb="2" eb="4">
      <t>ゼンリョク</t>
    </rPh>
    <rPh sb="4" eb="6">
      <t>ダゲキ</t>
    </rPh>
    <phoneticPr fontId="1"/>
  </si>
  <si>
    <t>違法9鈍器</t>
    <rPh sb="0" eb="2">
      <t>イホウ</t>
    </rPh>
    <rPh sb="3" eb="5">
      <t>ドンキ</t>
    </rPh>
    <phoneticPr fontId="1"/>
  </si>
  <si>
    <t>鈍器</t>
    <rPh sb="0" eb="2">
      <t>ドンキ</t>
    </rPh>
    <phoneticPr fontId="1"/>
  </si>
  <si>
    <t>大</t>
    <rPh sb="0" eb="1">
      <t>ダイ</t>
    </rPh>
    <phoneticPr fontId="1"/>
  </si>
  <si>
    <t>刀剣全力打撃</t>
    <rPh sb="0" eb="2">
      <t>トウケン</t>
    </rPh>
    <rPh sb="2" eb="4">
      <t>ゼンリョク</t>
    </rPh>
    <rPh sb="4" eb="6">
      <t>ダゲキ</t>
    </rPh>
    <phoneticPr fontId="1"/>
  </si>
  <si>
    <t>斧全力打撃</t>
    <rPh sb="0" eb="1">
      <t>オノ</t>
    </rPh>
    <rPh sb="1" eb="3">
      <t>ゼンリョク</t>
    </rPh>
    <rPh sb="3" eb="5">
      <t>ダゲキ</t>
    </rPh>
    <phoneticPr fontId="1"/>
  </si>
  <si>
    <t>これは、LOST ONLINE REBIRSEにおける、打撃武器の効率を推察するための一つの指標として作られたものです。</t>
    <rPh sb="28" eb="30">
      <t>ダゲキ</t>
    </rPh>
    <rPh sb="30" eb="32">
      <t>ブキ</t>
    </rPh>
    <rPh sb="33" eb="35">
      <t>コウリツ</t>
    </rPh>
    <rPh sb="36" eb="38">
      <t>スイサツ</t>
    </rPh>
    <rPh sb="43" eb="44">
      <t>ヒト</t>
    </rPh>
    <rPh sb="46" eb="48">
      <t>シヒョウ</t>
    </rPh>
    <rPh sb="51" eb="52">
      <t>ツク</t>
    </rPh>
    <phoneticPr fontId="1"/>
  </si>
  <si>
    <t>計算が必ずしも正しいとは限りません。特に、小数点以下切り捨てのタイミングは割と適当です。</t>
    <rPh sb="0" eb="2">
      <t>ケイサン</t>
    </rPh>
    <rPh sb="3" eb="4">
      <t>カナラ</t>
    </rPh>
    <rPh sb="7" eb="8">
      <t>タダ</t>
    </rPh>
    <rPh sb="12" eb="13">
      <t>カギ</t>
    </rPh>
    <rPh sb="18" eb="19">
      <t>トク</t>
    </rPh>
    <rPh sb="21" eb="24">
      <t>ショウスウテン</t>
    </rPh>
    <rPh sb="24" eb="26">
      <t>イカ</t>
    </rPh>
    <rPh sb="26" eb="27">
      <t>キ</t>
    </rPh>
    <rPh sb="28" eb="29">
      <t>ス</t>
    </rPh>
    <rPh sb="37" eb="38">
      <t>ワリ</t>
    </rPh>
    <rPh sb="39" eb="41">
      <t>テキトウ</t>
    </rPh>
    <phoneticPr fontId="1"/>
  </si>
  <si>
    <t>感染体効果</t>
    <rPh sb="0" eb="2">
      <t>カンセン</t>
    </rPh>
    <rPh sb="2" eb="3">
      <t>タイ</t>
    </rPh>
    <rPh sb="3" eb="5">
      <t>コウカ</t>
    </rPh>
    <phoneticPr fontId="1"/>
  </si>
  <si>
    <t>移動力</t>
    <rPh sb="0" eb="2">
      <t>イドウ</t>
    </rPh>
    <rPh sb="2" eb="3">
      <t>リョク</t>
    </rPh>
    <phoneticPr fontId="1"/>
  </si>
  <si>
    <t>速度上限</t>
    <rPh sb="0" eb="2">
      <t>ソクド</t>
    </rPh>
    <rPh sb="2" eb="4">
      <t>ジョウゲン</t>
    </rPh>
    <phoneticPr fontId="1"/>
  </si>
  <si>
    <t>職服ボーナス</t>
    <rPh sb="0" eb="1">
      <t>ショク</t>
    </rPh>
    <rPh sb="1" eb="2">
      <t>フク</t>
    </rPh>
    <phoneticPr fontId="1"/>
  </si>
  <si>
    <t>残りポイント</t>
    <rPh sb="0" eb="1">
      <t>ノコ</t>
    </rPh>
    <phoneticPr fontId="1"/>
  </si>
  <si>
    <t>戦国武者鎧(男)</t>
  </si>
  <si>
    <t>基本移動速度</t>
    <rPh sb="0" eb="2">
      <t>キホン</t>
    </rPh>
    <rPh sb="2" eb="4">
      <t>イドウ</t>
    </rPh>
    <rPh sb="4" eb="6">
      <t>ソクド</t>
    </rPh>
    <phoneticPr fontId="1"/>
  </si>
  <si>
    <t>いろいろいじくったのでミスがある可能性もありますがその時は報告おね。</t>
    <rPh sb="16" eb="19">
      <t>カノウセイ</t>
    </rPh>
    <rPh sb="27" eb="28">
      <t>トキ</t>
    </rPh>
    <rPh sb="29" eb="31">
      <t>ホウコク</t>
    </rPh>
    <phoneticPr fontId="1"/>
  </si>
  <si>
    <t>各項目の計算式。</t>
    <rPh sb="0" eb="3">
      <t>カクコウモク</t>
    </rPh>
    <rPh sb="4" eb="6">
      <t>ケイサン</t>
    </rPh>
    <rPh sb="6" eb="7">
      <t>シキ</t>
    </rPh>
    <phoneticPr fontId="1"/>
  </si>
  <si>
    <t>分間行動力消費</t>
    <rPh sb="0" eb="2">
      <t>フンカン</t>
    </rPh>
    <rPh sb="2" eb="4">
      <t>コウドウ</t>
    </rPh>
    <rPh sb="4" eb="5">
      <t>チカラ</t>
    </rPh>
    <rPh sb="5" eb="7">
      <t>ショウヒ</t>
    </rPh>
    <phoneticPr fontId="1"/>
  </si>
  <si>
    <t>分間行動力回復</t>
    <rPh sb="0" eb="2">
      <t>フンカン</t>
    </rPh>
    <rPh sb="2" eb="4">
      <t>コウドウ</t>
    </rPh>
    <rPh sb="4" eb="5">
      <t>チカラ</t>
    </rPh>
    <rPh sb="5" eb="7">
      <t>カイフク</t>
    </rPh>
    <phoneticPr fontId="1"/>
  </si>
  <si>
    <t>持久</t>
    <rPh sb="0" eb="2">
      <t>ジキュウ</t>
    </rPh>
    <phoneticPr fontId="1"/>
  </si>
  <si>
    <t>知能</t>
    <rPh sb="0" eb="2">
      <t>チノウ</t>
    </rPh>
    <phoneticPr fontId="1"/>
  </si>
  <si>
    <t>速度</t>
    <rPh sb="0" eb="2">
      <t>ソクド</t>
    </rPh>
    <phoneticPr fontId="1"/>
  </si>
  <si>
    <t>(使用スキルのLVの最大値*3-LV)/2,小数点以下切り上げ</t>
    <phoneticPr fontId="1"/>
  </si>
  <si>
    <t>ステロ最速(LOST ONLINE Wiki*より引用)</t>
  </si>
  <si>
    <t>表示攻撃力</t>
    <rPh sb="0" eb="2">
      <t>ヒョウジ</t>
    </rPh>
    <rPh sb="2" eb="5">
      <t>コウゲキリョク</t>
    </rPh>
    <phoneticPr fontId="1"/>
  </si>
  <si>
    <t>(改造込破壊力*(体力/100+1)+体力)*コス補正*感染体補正,小数点以下切り捨て</t>
    <phoneticPr fontId="1"/>
  </si>
  <si>
    <t>((実際の所持アイテム合計重量-羽根による重量軽減-コスによる重量軽減)/飛脚の効果*基本移動速度/基準速度/感染体補正-LV*4.5)/3.5,小数点以下切り上げ</t>
    <rPh sb="58" eb="60">
      <t>ホセイ</t>
    </rPh>
    <phoneticPr fontId="1"/>
  </si>
  <si>
    <t>体力</t>
    <rPh sb="0" eb="2">
      <t>タイリョク</t>
    </rPh>
    <phoneticPr fontId="1"/>
  </si>
  <si>
    <t>持久力</t>
    <rPh sb="0" eb="3">
      <t>ジキュウリョク</t>
    </rPh>
    <phoneticPr fontId="1"/>
  </si>
  <si>
    <t>行動力</t>
    <rPh sb="0" eb="3">
      <t>コウドウリョク</t>
    </rPh>
    <phoneticPr fontId="1"/>
  </si>
  <si>
    <t>((LV+体力)*9+LVの10の位*30+100)*感染体補正+コス効果,小数点以下切り捨て</t>
    <phoneticPr fontId="1"/>
  </si>
  <si>
    <t>(LV+持久)*9</t>
    <phoneticPr fontId="1"/>
  </si>
  <si>
    <t>(LV+知能)*9</t>
    <phoneticPr fontId="1"/>
  </si>
  <si>
    <t>ジャンプ消費量</t>
    <rPh sb="4" eb="7">
      <t>ショウヒリョウ</t>
    </rPh>
    <phoneticPr fontId="1"/>
  </si>
  <si>
    <t>基本移動速度</t>
    <rPh sb="0" eb="2">
      <t>キホン</t>
    </rPh>
    <rPh sb="2" eb="4">
      <t>イドウ</t>
    </rPh>
    <rPh sb="4" eb="6">
      <t>ソクド</t>
    </rPh>
    <phoneticPr fontId="1"/>
  </si>
  <si>
    <t>(LV*3+50)*感染体補正,小数点以下切り捨て</t>
    <phoneticPr fontId="1"/>
  </si>
  <si>
    <t>基準速度、ただし上限は150(感染体は170)</t>
  </si>
  <si>
    <t>防御力</t>
    <rPh sb="0" eb="3">
      <t>ボウギョリョク</t>
    </rPh>
    <phoneticPr fontId="1"/>
  </si>
  <si>
    <t>回避力</t>
    <rPh sb="0" eb="2">
      <t>カイヒ</t>
    </rPh>
    <rPh sb="2" eb="3">
      <t>リョク</t>
    </rPh>
    <phoneticPr fontId="1"/>
  </si>
  <si>
    <t>意識回復</t>
    <rPh sb="0" eb="2">
      <t>イシキ</t>
    </rPh>
    <rPh sb="2" eb="4">
      <t>カイフク</t>
    </rPh>
    <phoneticPr fontId="1"/>
  </si>
  <si>
    <t>(防具の防御力合計*職服ボーナス*(1+持久/100)+持久/2)*コス補正*羽根補正*防御攻撃,小数点以下切り捨て</t>
    <phoneticPr fontId="1"/>
  </si>
  <si>
    <t>(((防具の回避力合計+盾の回避力+コスの回避力+羽根の回避力)*(1+速度/100)+速度)/10+1)*回避攻撃％、ただし小数点以下切り捨て、上限５０％</t>
    <phoneticPr fontId="1"/>
  </si>
  <si>
    <t>(生命+コスの生命)/2％、ただし小数点以下切り捨て、生命が5なら0、上限50%</t>
    <phoneticPr fontId="1"/>
  </si>
  <si>
    <t>所持アイテム数</t>
    <phoneticPr fontId="1"/>
  </si>
  <si>
    <t>100+LV/3小数点以下切り捨て</t>
    <phoneticPr fontId="1"/>
  </si>
  <si>
    <t>所持重量</t>
  </si>
  <si>
    <t>(LV*4.5+持久*3.5)*感染体補正,小数点以下切り捨て</t>
    <rPh sb="16" eb="18">
      <t>カンセン</t>
    </rPh>
    <rPh sb="18" eb="19">
      <t>タイ</t>
    </rPh>
    <rPh sb="19" eb="21">
      <t>ホセイ</t>
    </rPh>
    <phoneticPr fontId="1"/>
  </si>
  <si>
    <t>最大所持重量</t>
    <phoneticPr fontId="1"/>
  </si>
  <si>
    <t>所持重量*飛脚*基準速度/基本移動速度+コスによる重量軽減+羽根による重量軽減,小数点以下切り捨て</t>
  </si>
  <si>
    <t>基準速度</t>
    <phoneticPr fontId="1"/>
  </si>
  <si>
    <t>((防具の速度+100)*(1+速度/200))*コス補正*感染体補正,小数点以下切り捨て</t>
    <phoneticPr fontId="1"/>
  </si>
  <si>
    <t>実移動速度</t>
    <phoneticPr fontId="1"/>
  </si>
  <si>
    <t>基準速度*所持重量*飛脚/(実際の所持アイテム合計重量-羽根による重量軽減-コスによる重量軽減)</t>
    <phoneticPr fontId="1"/>
  </si>
  <si>
    <t>クリ時威力倍率</t>
  </si>
  <si>
    <t>(技術/100+2)*致命打撃*(カウンターアタック発生率*2+1-カウンターアタック発生率)</t>
    <phoneticPr fontId="1"/>
  </si>
  <si>
    <t>一振り当たり威力</t>
    <phoneticPr fontId="1"/>
  </si>
  <si>
    <t>表示攻撃力*(クリティカル率*クリ時威力倍率+(1-クリティカル率)*1)*打撃攻撃アマ*全力攻撃アマ*サイズ補正*発火効果補正-敵防御力</t>
    <phoneticPr fontId="1"/>
  </si>
  <si>
    <t>分間行動力回復</t>
    <phoneticPr fontId="1"/>
  </si>
  <si>
    <t>一振り当たり威力*分間攻撃回数/1000+行動力/10、ただし小数点以下切り捨て、上限は行動力回復上限*12</t>
  </si>
  <si>
    <t>発火効果補正</t>
    <phoneticPr fontId="1"/>
  </si>
  <si>
    <t>発火効果率*1.5+1-発火効果率,ただし発火効果ありのときのみ</t>
  </si>
  <si>
    <t>各計算式は、大枠はLOST ONLINE Wiki*(コメント欄を含む)より引用ですが、感染体補正やコス・羽根の補正などの入り方は推測を多分に含みます。</t>
    <rPh sb="0" eb="1">
      <t>カク</t>
    </rPh>
    <rPh sb="1" eb="3">
      <t>ケイサン</t>
    </rPh>
    <rPh sb="3" eb="4">
      <t>シキ</t>
    </rPh>
    <rPh sb="6" eb="8">
      <t>オオワク</t>
    </rPh>
    <rPh sb="31" eb="32">
      <t>ラン</t>
    </rPh>
    <rPh sb="33" eb="34">
      <t>フク</t>
    </rPh>
    <rPh sb="38" eb="40">
      <t>インヨウ</t>
    </rPh>
    <rPh sb="44" eb="46">
      <t>カンセン</t>
    </rPh>
    <rPh sb="46" eb="47">
      <t>タイ</t>
    </rPh>
    <rPh sb="47" eb="49">
      <t>ホセイ</t>
    </rPh>
    <rPh sb="53" eb="55">
      <t>ハネ</t>
    </rPh>
    <rPh sb="56" eb="58">
      <t>ホセイ</t>
    </rPh>
    <rPh sb="61" eb="62">
      <t>ハイ</t>
    </rPh>
    <rPh sb="63" eb="64">
      <t>カタ</t>
    </rPh>
    <rPh sb="65" eb="67">
      <t>スイソク</t>
    </rPh>
    <rPh sb="68" eb="70">
      <t>タブン</t>
    </rPh>
    <rPh sb="71" eb="72">
      <t>フク</t>
    </rPh>
    <phoneticPr fontId="1"/>
  </si>
  <si>
    <t>盾不可</t>
    <rPh sb="0" eb="1">
      <t>タテ</t>
    </rPh>
    <rPh sb="1" eb="3">
      <t>フカ</t>
    </rPh>
    <phoneticPr fontId="1"/>
  </si>
  <si>
    <t>－</t>
    <phoneticPr fontId="1"/>
  </si>
  <si>
    <t>防御力下限</t>
    <rPh sb="0" eb="3">
      <t>ボウギョリョク</t>
    </rPh>
    <rPh sb="3" eb="5">
      <t>カゲン</t>
    </rPh>
    <phoneticPr fontId="1"/>
  </si>
  <si>
    <t>職服ボーナス、発火効果、服の重複、盾の可否は手動チェックです。入力ミスの無きように。</t>
    <rPh sb="0" eb="1">
      <t>ショク</t>
    </rPh>
    <rPh sb="1" eb="2">
      <t>フク</t>
    </rPh>
    <rPh sb="7" eb="9">
      <t>ハッカ</t>
    </rPh>
    <rPh sb="9" eb="11">
      <t>コウカ</t>
    </rPh>
    <rPh sb="12" eb="13">
      <t>フク</t>
    </rPh>
    <rPh sb="14" eb="16">
      <t>チョウフク</t>
    </rPh>
    <rPh sb="17" eb="18">
      <t>タテ</t>
    </rPh>
    <rPh sb="19" eb="21">
      <t>カヒ</t>
    </rPh>
    <rPh sb="22" eb="24">
      <t>シュドウ</t>
    </rPh>
    <rPh sb="31" eb="33">
      <t>ニュウリョク</t>
    </rPh>
    <rPh sb="36" eb="37">
      <t>ナ</t>
    </rPh>
    <phoneticPr fontId="1"/>
  </si>
  <si>
    <t>ステ計算型では、ステ振りが自動的に決定されます。</t>
    <rPh sb="2" eb="4">
      <t>ケイサン</t>
    </rPh>
    <rPh sb="4" eb="5">
      <t>ガタ</t>
    </rPh>
    <rPh sb="10" eb="11">
      <t>フ</t>
    </rPh>
    <rPh sb="13" eb="16">
      <t>ジドウテキ</t>
    </rPh>
    <rPh sb="17" eb="19">
      <t>ケッテイ</t>
    </rPh>
    <phoneticPr fontId="1"/>
  </si>
  <si>
    <t>生命は5、知能はスキル取得に必要な最低限。</t>
    <rPh sb="0" eb="2">
      <t>セイメイ</t>
    </rPh>
    <rPh sb="5" eb="7">
      <t>チノウ</t>
    </rPh>
    <rPh sb="11" eb="13">
      <t>シュトク</t>
    </rPh>
    <rPh sb="14" eb="16">
      <t>ヒツヨウ</t>
    </rPh>
    <rPh sb="17" eb="20">
      <t>サイテイゲン</t>
    </rPh>
    <phoneticPr fontId="1"/>
  </si>
  <si>
    <t>速度は、ステロ最速に必要なだけ。(LOST ONLINE Wiki*の数値を使用)</t>
    <rPh sb="0" eb="2">
      <t>ソクド</t>
    </rPh>
    <rPh sb="7" eb="9">
      <t>サイソク</t>
    </rPh>
    <rPh sb="10" eb="12">
      <t>ヒツヨウ</t>
    </rPh>
    <rPh sb="35" eb="37">
      <t>スウチ</t>
    </rPh>
    <rPh sb="38" eb="40">
      <t>シヨウ</t>
    </rPh>
    <phoneticPr fontId="1"/>
  </si>
  <si>
    <t>ほとんどの情報はLOST ONLINE　Wiki*(コメント欄含む)を参考にしております。</t>
    <rPh sb="5" eb="7">
      <t>ジョウホウ</t>
    </rPh>
    <rPh sb="30" eb="31">
      <t>ラン</t>
    </rPh>
    <rPh sb="31" eb="32">
      <t>フク</t>
    </rPh>
    <rPh sb="35" eb="37">
      <t>サンコウ</t>
    </rPh>
    <phoneticPr fontId="1"/>
  </si>
  <si>
    <t>現状、高レベル向け対単体打撃武器にしか対応していません。</t>
    <rPh sb="0" eb="2">
      <t>ゲンジョウ</t>
    </rPh>
    <rPh sb="3" eb="4">
      <t>コウ</t>
    </rPh>
    <rPh sb="7" eb="8">
      <t>ム</t>
    </rPh>
    <rPh sb="9" eb="10">
      <t>タイ</t>
    </rPh>
    <rPh sb="10" eb="12">
      <t>タンタイ</t>
    </rPh>
    <rPh sb="12" eb="14">
      <t>ダゲキ</t>
    </rPh>
    <rPh sb="14" eb="16">
      <t>ブキ</t>
    </rPh>
    <rPh sb="19" eb="21">
      <t>タイオウ</t>
    </rPh>
    <phoneticPr fontId="1"/>
  </si>
  <si>
    <t>持久は、移動速度が落ちないことと防御力最低値を超えることの二つの条件を満たす値。</t>
    <rPh sb="0" eb="2">
      <t>ジキュウ</t>
    </rPh>
    <rPh sb="4" eb="6">
      <t>イドウ</t>
    </rPh>
    <rPh sb="6" eb="8">
      <t>ソクド</t>
    </rPh>
    <rPh sb="9" eb="10">
      <t>オ</t>
    </rPh>
    <rPh sb="16" eb="19">
      <t>ボウギョリョク</t>
    </rPh>
    <rPh sb="19" eb="21">
      <t>サイテイ</t>
    </rPh>
    <rPh sb="21" eb="22">
      <t>チ</t>
    </rPh>
    <rPh sb="23" eb="24">
      <t>コ</t>
    </rPh>
    <rPh sb="29" eb="30">
      <t>フタ</t>
    </rPh>
    <rPh sb="32" eb="34">
      <t>ジョウケン</t>
    </rPh>
    <rPh sb="35" eb="36">
      <t>ミ</t>
    </rPh>
    <rPh sb="38" eb="39">
      <t>アタイ</t>
    </rPh>
    <phoneticPr fontId="1"/>
  </si>
  <si>
    <t>技術と体力は、残りのポイントが一振り当たり発揮威力が最大になる様に割り振られます。</t>
    <rPh sb="0" eb="2">
      <t>ギジュツ</t>
    </rPh>
    <rPh sb="3" eb="5">
      <t>タイリョク</t>
    </rPh>
    <rPh sb="7" eb="8">
      <t>ノコ</t>
    </rPh>
    <rPh sb="15" eb="17">
      <t>ヒトフ</t>
    </rPh>
    <rPh sb="18" eb="19">
      <t>ア</t>
    </rPh>
    <rPh sb="21" eb="23">
      <t>ハッキ</t>
    </rPh>
    <rPh sb="23" eb="25">
      <t>イリョク</t>
    </rPh>
    <rPh sb="26" eb="28">
      <t>サイダイ</t>
    </rPh>
    <rPh sb="31" eb="32">
      <t>ヨウ</t>
    </rPh>
    <rPh sb="33" eb="34">
      <t>ワ</t>
    </rPh>
    <rPh sb="35" eb="36">
      <t>フ</t>
    </rPh>
    <phoneticPr fontId="1"/>
  </si>
  <si>
    <t>「基本移動速度」は重量0のときの移動速度です。右下の「実移動速度」が重量も加味した移動速度になります。</t>
    <rPh sb="1" eb="3">
      <t>キホン</t>
    </rPh>
    <rPh sb="3" eb="5">
      <t>イドウ</t>
    </rPh>
    <rPh sb="5" eb="7">
      <t>ソクド</t>
    </rPh>
    <rPh sb="9" eb="11">
      <t>ジュウリョウ</t>
    </rPh>
    <rPh sb="16" eb="18">
      <t>イドウ</t>
    </rPh>
    <rPh sb="18" eb="20">
      <t>ソクド</t>
    </rPh>
    <rPh sb="23" eb="25">
      <t>ミギシタ</t>
    </rPh>
    <rPh sb="27" eb="28">
      <t>ジツ</t>
    </rPh>
    <rPh sb="28" eb="30">
      <t>イドウ</t>
    </rPh>
    <rPh sb="30" eb="32">
      <t>ソクド</t>
    </rPh>
    <rPh sb="34" eb="36">
      <t>ジュウリョウ</t>
    </rPh>
    <rPh sb="37" eb="39">
      <t>カミ</t>
    </rPh>
    <rPh sb="41" eb="43">
      <t>イドウ</t>
    </rPh>
    <rPh sb="43" eb="45">
      <t>ソクド</t>
    </rPh>
    <phoneticPr fontId="1"/>
  </si>
  <si>
    <t>黒く塗りつぶされている欄にもいくつか文字がありますが、途中計算用の覚書のようなものです。</t>
    <rPh sb="0" eb="1">
      <t>クロ</t>
    </rPh>
    <rPh sb="2" eb="3">
      <t>ヌ</t>
    </rPh>
    <rPh sb="11" eb="12">
      <t>ラン</t>
    </rPh>
    <rPh sb="18" eb="20">
      <t>モジ</t>
    </rPh>
    <rPh sb="27" eb="29">
      <t>トチュウ</t>
    </rPh>
    <rPh sb="29" eb="32">
      <t>ケイサンヨウ</t>
    </rPh>
    <rPh sb="33" eb="35">
      <t>オボエガキ</t>
    </rPh>
    <phoneticPr fontId="1"/>
  </si>
  <si>
    <t>Crest Wing(黒)</t>
  </si>
  <si>
    <t>全クリティカルのうち2割がカウンターアタックになると仮定するならば、カウンター発生率に0.2と入力します。</t>
    <rPh sb="0" eb="1">
      <t>ゼン</t>
    </rPh>
    <rPh sb="11" eb="12">
      <t>ワリ</t>
    </rPh>
    <rPh sb="26" eb="28">
      <t>カテイ</t>
    </rPh>
    <rPh sb="39" eb="41">
      <t>ハッセイ</t>
    </rPh>
    <rPh sb="41" eb="42">
      <t>リツ</t>
    </rPh>
    <rPh sb="47" eb="49">
      <t>ニュウリョク</t>
    </rPh>
    <phoneticPr fontId="1"/>
  </si>
  <si>
    <t>全攻撃のうち5割が発火状態で行われると仮定するならば、発火効果率に0.5と入力します。</t>
    <rPh sb="0" eb="1">
      <t>ゼン</t>
    </rPh>
    <rPh sb="1" eb="3">
      <t>コウゲキ</t>
    </rPh>
    <rPh sb="7" eb="8">
      <t>ワリ</t>
    </rPh>
    <rPh sb="9" eb="11">
      <t>ハッカ</t>
    </rPh>
    <rPh sb="11" eb="13">
      <t>ジョウタイ</t>
    </rPh>
    <rPh sb="14" eb="15">
      <t>オコナ</t>
    </rPh>
    <rPh sb="19" eb="21">
      <t>カテイ</t>
    </rPh>
    <rPh sb="27" eb="29">
      <t>ハッカ</t>
    </rPh>
    <rPh sb="29" eb="31">
      <t>コウカ</t>
    </rPh>
    <rPh sb="31" eb="32">
      <t>リツ</t>
    </rPh>
    <rPh sb="37" eb="39">
      <t>ニュウリョク</t>
    </rPh>
    <phoneticPr fontId="1"/>
  </si>
  <si>
    <t>行動力回復上限は、回復1回あたり(5秒ごと)の値を入力してください。年度や狩り場によって変わるそうです。</t>
    <rPh sb="0" eb="3">
      <t>コウドウリョク</t>
    </rPh>
    <rPh sb="3" eb="5">
      <t>カイフク</t>
    </rPh>
    <rPh sb="5" eb="7">
      <t>ジョウゲン</t>
    </rPh>
    <rPh sb="9" eb="11">
      <t>カイフク</t>
    </rPh>
    <rPh sb="12" eb="13">
      <t>カイ</t>
    </rPh>
    <rPh sb="18" eb="19">
      <t>ビョウ</t>
    </rPh>
    <rPh sb="23" eb="24">
      <t>アタイ</t>
    </rPh>
    <rPh sb="25" eb="27">
      <t>ニュウリョク</t>
    </rPh>
    <rPh sb="34" eb="36">
      <t>ネンド</t>
    </rPh>
    <rPh sb="37" eb="38">
      <t>カ</t>
    </rPh>
    <rPh sb="39" eb="40">
      <t>バ</t>
    </rPh>
    <rPh sb="44" eb="45">
      <t>カ</t>
    </rPh>
    <phoneticPr fontId="1"/>
  </si>
  <si>
    <t>男3級職服</t>
    <rPh sb="0" eb="1">
      <t>オトコ</t>
    </rPh>
    <rPh sb="2" eb="3">
      <t>キュウ</t>
    </rPh>
    <rPh sb="3" eb="4">
      <t>ショク</t>
    </rPh>
    <rPh sb="4" eb="5">
      <t>フク</t>
    </rPh>
    <phoneticPr fontId="1"/>
  </si>
  <si>
    <t>男2級職服</t>
    <rPh sb="0" eb="1">
      <t>オトコ</t>
    </rPh>
    <rPh sb="2" eb="3">
      <t>キュウ</t>
    </rPh>
    <rPh sb="3" eb="4">
      <t>ショク</t>
    </rPh>
    <rPh sb="4" eb="5">
      <t>フク</t>
    </rPh>
    <phoneticPr fontId="1"/>
  </si>
  <si>
    <t>男1級職服</t>
  </si>
  <si>
    <t>男1級職服</t>
    <rPh sb="0" eb="1">
      <t>オトコ</t>
    </rPh>
    <rPh sb="2" eb="3">
      <t>キュウ</t>
    </rPh>
    <rPh sb="3" eb="4">
      <t>ショク</t>
    </rPh>
    <rPh sb="4" eb="5">
      <t>フク</t>
    </rPh>
    <phoneticPr fontId="1"/>
  </si>
  <si>
    <t>女3級職服</t>
    <rPh sb="0" eb="1">
      <t>オンナ</t>
    </rPh>
    <rPh sb="2" eb="3">
      <t>キュウ</t>
    </rPh>
    <rPh sb="3" eb="4">
      <t>ショク</t>
    </rPh>
    <rPh sb="4" eb="5">
      <t>フク</t>
    </rPh>
    <phoneticPr fontId="1"/>
  </si>
  <si>
    <t>女2級職服</t>
    <rPh sb="0" eb="1">
      <t>オンナ</t>
    </rPh>
    <rPh sb="2" eb="3">
      <t>キュウ</t>
    </rPh>
    <rPh sb="3" eb="4">
      <t>ショク</t>
    </rPh>
    <rPh sb="4" eb="5">
      <t>フク</t>
    </rPh>
    <phoneticPr fontId="1"/>
  </si>
  <si>
    <t>女1級職服</t>
    <rPh sb="0" eb="1">
      <t>オンナ</t>
    </rPh>
    <rPh sb="2" eb="3">
      <t>キュウ</t>
    </rPh>
    <rPh sb="3" eb="4">
      <t>ショク</t>
    </rPh>
    <rPh sb="4" eb="5">
      <t>フク</t>
    </rPh>
    <phoneticPr fontId="1"/>
  </si>
  <si>
    <t>男ジャーマン</t>
    <rPh sb="0" eb="1">
      <t>オトコ</t>
    </rPh>
    <phoneticPr fontId="1"/>
  </si>
  <si>
    <t>女ジャーマン</t>
    <rPh sb="0" eb="1">
      <t>オンナ</t>
    </rPh>
    <phoneticPr fontId="1"/>
  </si>
  <si>
    <t>命中率が100%でなくとも、攻撃は必ず当たるものと仮定しています。</t>
    <rPh sb="0" eb="2">
      <t>メイチュウ</t>
    </rPh>
    <rPh sb="2" eb="3">
      <t>リツ</t>
    </rPh>
    <rPh sb="14" eb="16">
      <t>コウゲキ</t>
    </rPh>
    <rPh sb="17" eb="18">
      <t>カナラ</t>
    </rPh>
    <rPh sb="19" eb="20">
      <t>ア</t>
    </rPh>
    <rPh sb="25" eb="27">
      <t>カテイ</t>
    </rPh>
    <phoneticPr fontId="1"/>
  </si>
  <si>
    <t>((改造込武器クリ*(技術/100+1))/5)+1％,小数点以下切り捨て、上限50%</t>
    <rPh sb="38" eb="40">
      <t>ジョウゲン</t>
    </rPh>
    <phoneticPr fontId="1"/>
  </si>
  <si>
    <t>10二股</t>
    <rPh sb="2" eb="4">
      <t>フタマタ</t>
    </rPh>
    <phoneticPr fontId="1"/>
  </si>
  <si>
    <t>11二股</t>
    <rPh sb="2" eb="4">
      <t>フタマタ</t>
    </rPh>
    <phoneticPr fontId="1"/>
  </si>
  <si>
    <t>手裏剣</t>
    <rPh sb="0" eb="3">
      <t>シュリケン</t>
    </rPh>
    <phoneticPr fontId="1"/>
  </si>
  <si>
    <t>蒼手裏剣</t>
    <rPh sb="0" eb="1">
      <t>アオ</t>
    </rPh>
    <rPh sb="1" eb="4">
      <t>シュリケン</t>
    </rPh>
    <phoneticPr fontId="1"/>
  </si>
  <si>
    <t>月鎌</t>
    <rPh sb="0" eb="1">
      <t>ツキ</t>
    </rPh>
    <rPh sb="1" eb="2">
      <t>カマ</t>
    </rPh>
    <phoneticPr fontId="1"/>
  </si>
  <si>
    <t>二股</t>
    <rPh sb="0" eb="2">
      <t>フタマタ</t>
    </rPh>
    <phoneticPr fontId="1"/>
  </si>
  <si>
    <t>槍</t>
    <rPh sb="0" eb="1">
      <t>ヤリ</t>
    </rPh>
    <phoneticPr fontId="1"/>
  </si>
  <si>
    <t>槍全力攻撃</t>
    <rPh sb="0" eb="1">
      <t>ヤリ</t>
    </rPh>
    <rPh sb="1" eb="3">
      <t>ゼンリョク</t>
    </rPh>
    <rPh sb="3" eb="5">
      <t>コウゲキ</t>
    </rPh>
    <phoneticPr fontId="1"/>
  </si>
  <si>
    <t>平均HIT数</t>
    <rPh sb="0" eb="2">
      <t>ヘイキン</t>
    </rPh>
    <rPh sb="5" eb="6">
      <t>スウ</t>
    </rPh>
    <phoneticPr fontId="1"/>
  </si>
  <si>
    <t>手裏剣の投擲は41回</t>
    <rPh sb="0" eb="3">
      <t>シュリケン</t>
    </rPh>
    <rPh sb="4" eb="6">
      <t>トウテキ</t>
    </rPh>
    <rPh sb="9" eb="10">
      <t>カイ</t>
    </rPh>
    <phoneticPr fontId="1"/>
  </si>
  <si>
    <t>分間殲滅力</t>
    <rPh sb="0" eb="2">
      <t>フンカン</t>
    </rPh>
    <rPh sb="2" eb="4">
      <t>センメツ</t>
    </rPh>
    <rPh sb="4" eb="5">
      <t>リョク</t>
    </rPh>
    <phoneticPr fontId="1"/>
  </si>
  <si>
    <t>最大HIT数：手裏剣は16、蒼手裏剣は12、月鎌は14</t>
    <rPh sb="0" eb="2">
      <t>サイダイ</t>
    </rPh>
    <rPh sb="5" eb="6">
      <t>スウ</t>
    </rPh>
    <rPh sb="7" eb="10">
      <t>シュリケン</t>
    </rPh>
    <rPh sb="14" eb="15">
      <t>アオ</t>
    </rPh>
    <rPh sb="15" eb="18">
      <t>シュリケン</t>
    </rPh>
    <rPh sb="22" eb="23">
      <t>ツキ</t>
    </rPh>
    <rPh sb="23" eb="24">
      <t>カマ</t>
    </rPh>
    <phoneticPr fontId="1"/>
  </si>
  <si>
    <t>すき焼き</t>
    <rPh sb="2" eb="3">
      <t>ヤ</t>
    </rPh>
    <phoneticPr fontId="1"/>
  </si>
  <si>
    <t>行動力回復量に上限はないと思う場合は、10000くらいを入力しておけばいいでしょう。</t>
    <phoneticPr fontId="1"/>
  </si>
  <si>
    <t>早斬りなしを前提としています(速度振りの情報が少ないため)。移動UPなど課金アイテムを使えば、また状況は変わってきます。</t>
    <rPh sb="0" eb="1">
      <t>ハヤ</t>
    </rPh>
    <rPh sb="1" eb="2">
      <t>キ</t>
    </rPh>
    <rPh sb="6" eb="8">
      <t>ゼンテイ</t>
    </rPh>
    <rPh sb="15" eb="17">
      <t>ソクド</t>
    </rPh>
    <rPh sb="17" eb="18">
      <t>フ</t>
    </rPh>
    <rPh sb="20" eb="22">
      <t>ジョウホウ</t>
    </rPh>
    <rPh sb="23" eb="24">
      <t>スク</t>
    </rPh>
    <rPh sb="30" eb="32">
      <t>イドウ</t>
    </rPh>
    <rPh sb="36" eb="38">
      <t>カキン</t>
    </rPh>
    <rPh sb="43" eb="44">
      <t>ツカ</t>
    </rPh>
    <rPh sb="49" eb="51">
      <t>ジョウキョウ</t>
    </rPh>
    <rPh sb="52" eb="53">
      <t>カ</t>
    </rPh>
    <phoneticPr fontId="1"/>
  </si>
  <si>
    <t>9槍</t>
    <rPh sb="1" eb="2">
      <t>ヤリ</t>
    </rPh>
    <phoneticPr fontId="1"/>
  </si>
  <si>
    <t>10槍</t>
    <rPh sb="2" eb="3">
      <t>ヤリ</t>
    </rPh>
    <phoneticPr fontId="1"/>
  </si>
  <si>
    <t>11槍</t>
    <rPh sb="2" eb="3">
      <t>ヤリ</t>
    </rPh>
    <phoneticPr fontId="1"/>
  </si>
  <si>
    <t>100%とみなす</t>
    <phoneticPr fontId="1"/>
  </si>
  <si>
    <t>LV</t>
    <phoneticPr fontId="1"/>
  </si>
  <si>
    <t>ツバ</t>
    <phoneticPr fontId="1"/>
  </si>
  <si>
    <t>サイズ</t>
    <phoneticPr fontId="1"/>
  </si>
  <si>
    <t>かつら</t>
    <phoneticPr fontId="1"/>
  </si>
  <si>
    <t>ステロイド</t>
    <phoneticPr fontId="1"/>
  </si>
  <si>
    <t>コテ</t>
    <phoneticPr fontId="1"/>
  </si>
  <si>
    <t>ジャケット</t>
    <phoneticPr fontId="1"/>
  </si>
  <si>
    <t>ストッキング</t>
    <phoneticPr fontId="1"/>
  </si>
  <si>
    <t>コス</t>
    <phoneticPr fontId="1"/>
  </si>
  <si>
    <t>パッシヴスキル</t>
    <phoneticPr fontId="1"/>
  </si>
  <si>
    <t>アクティブスキル</t>
    <phoneticPr fontId="1"/>
  </si>
  <si>
    <t>2006 Published by MGAME JAPAN Corp. Copyright(C)2006 Monsternet. All Rights Reserved.</t>
    <phoneticPr fontId="1"/>
  </si>
  <si>
    <t>男SSSスーツ</t>
    <rPh sb="0" eb="1">
      <t>オトコ</t>
    </rPh>
    <phoneticPr fontId="1"/>
  </si>
  <si>
    <t>女SSSスーツ</t>
    <rPh sb="0" eb="1">
      <t>オンナ</t>
    </rPh>
    <phoneticPr fontId="1"/>
  </si>
  <si>
    <t>敵ＨＰ</t>
    <rPh sb="0" eb="1">
      <t>テキ</t>
    </rPh>
    <phoneticPr fontId="1"/>
  </si>
  <si>
    <t>敵攻撃力</t>
    <rPh sb="0" eb="1">
      <t>テキ</t>
    </rPh>
    <rPh sb="1" eb="4">
      <t>コウゲキリョク</t>
    </rPh>
    <phoneticPr fontId="1"/>
  </si>
  <si>
    <t>敵防御力</t>
    <rPh sb="0" eb="1">
      <t>テキ</t>
    </rPh>
    <rPh sb="1" eb="4">
      <t>ボウギョリョク</t>
    </rPh>
    <phoneticPr fontId="1"/>
  </si>
  <si>
    <t>警察職</t>
    <rPh sb="0" eb="2">
      <t>ケイサツ</t>
    </rPh>
    <rPh sb="2" eb="3">
      <t>ショク</t>
    </rPh>
    <phoneticPr fontId="1"/>
  </si>
  <si>
    <t>ダメ最大値</t>
    <rPh sb="2" eb="5">
      <t>サイダイチ</t>
    </rPh>
    <phoneticPr fontId="1"/>
  </si>
  <si>
    <t>ダメ下限</t>
    <rPh sb="2" eb="4">
      <t>カゲン</t>
    </rPh>
    <phoneticPr fontId="1"/>
  </si>
  <si>
    <t>非警察</t>
    <rPh sb="0" eb="1">
      <t>ヒ</t>
    </rPh>
    <rPh sb="1" eb="3">
      <t>ケイサツ</t>
    </rPh>
    <phoneticPr fontId="1"/>
  </si>
  <si>
    <t>４級</t>
    <rPh sb="1" eb="2">
      <t>キュウ</t>
    </rPh>
    <phoneticPr fontId="1"/>
  </si>
  <si>
    <t>３級</t>
    <rPh sb="1" eb="2">
      <t>キュウ</t>
    </rPh>
    <phoneticPr fontId="1"/>
  </si>
  <si>
    <t>２級</t>
    <rPh sb="1" eb="2">
      <t>キュウ</t>
    </rPh>
    <phoneticPr fontId="1"/>
  </si>
  <si>
    <t>１級</t>
    <rPh sb="1" eb="2">
      <t>キュウ</t>
    </rPh>
    <phoneticPr fontId="1"/>
  </si>
  <si>
    <t>最低体力</t>
    <rPh sb="0" eb="2">
      <t>サイテイ</t>
    </rPh>
    <rPh sb="2" eb="4">
      <t>タイリョク</t>
    </rPh>
    <phoneticPr fontId="1"/>
  </si>
  <si>
    <t>有効防御力上限</t>
    <rPh sb="0" eb="2">
      <t>ユウコウ</t>
    </rPh>
    <rPh sb="2" eb="5">
      <t>ボウギョリョク</t>
    </rPh>
    <rPh sb="5" eb="7">
      <t>ジョウゲン</t>
    </rPh>
    <phoneticPr fontId="1"/>
  </si>
  <si>
    <t>要求耐久回数</t>
    <rPh sb="0" eb="2">
      <t>ヨウキュウ</t>
    </rPh>
    <rPh sb="2" eb="4">
      <t>タイキュウ</t>
    </rPh>
    <rPh sb="4" eb="6">
      <t>カイスウ</t>
    </rPh>
    <phoneticPr fontId="1"/>
  </si>
  <si>
    <t>実耐久回数</t>
    <rPh sb="0" eb="1">
      <t>ジツ</t>
    </rPh>
    <rPh sb="1" eb="3">
      <t>タイキュウ</t>
    </rPh>
    <rPh sb="3" eb="5">
      <t>カイスウ</t>
    </rPh>
    <phoneticPr fontId="1"/>
  </si>
  <si>
    <t>ロストレンジャーブルー</t>
  </si>
  <si>
    <t>Crest Wing(青)</t>
  </si>
  <si>
    <t>炎上中ＨＩＴ数</t>
    <rPh sb="0" eb="2">
      <t>エンジョウ</t>
    </rPh>
    <rPh sb="2" eb="3">
      <t>チュウ</t>
    </rPh>
    <rPh sb="6" eb="7">
      <t>スウ</t>
    </rPh>
    <phoneticPr fontId="1"/>
  </si>
  <si>
    <t>被ダメ基本値</t>
    <rPh sb="0" eb="1">
      <t>ヒ</t>
    </rPh>
    <rPh sb="3" eb="5">
      <t>キホン</t>
    </rPh>
    <rPh sb="5" eb="6">
      <t>チ</t>
    </rPh>
    <phoneticPr fontId="1"/>
  </si>
  <si>
    <t>平常時ダメ</t>
    <rPh sb="0" eb="2">
      <t>ヘイジョウ</t>
    </rPh>
    <rPh sb="2" eb="3">
      <t>ジ</t>
    </rPh>
    <phoneticPr fontId="1"/>
  </si>
  <si>
    <t>炎上時ダメ</t>
    <rPh sb="0" eb="2">
      <t>エンジョウ</t>
    </rPh>
    <rPh sb="2" eb="3">
      <t>ジ</t>
    </rPh>
    <phoneticPr fontId="1"/>
  </si>
  <si>
    <t>炎上目標値</t>
    <rPh sb="0" eb="2">
      <t>エンジョウ</t>
    </rPh>
    <rPh sb="2" eb="5">
      <t>モクヒョウチ</t>
    </rPh>
    <phoneticPr fontId="1"/>
  </si>
  <si>
    <t>炎上時必要打数</t>
    <rPh sb="0" eb="2">
      <t>エンジョウ</t>
    </rPh>
    <rPh sb="2" eb="3">
      <t>ジ</t>
    </rPh>
    <rPh sb="3" eb="5">
      <t>ヒツヨウ</t>
    </rPh>
    <rPh sb="5" eb="7">
      <t>ダスウ</t>
    </rPh>
    <phoneticPr fontId="1"/>
  </si>
  <si>
    <t>不燃目標値</t>
    <rPh sb="0" eb="2">
      <t>フネン</t>
    </rPh>
    <rPh sb="2" eb="5">
      <t>モクヒョウチ</t>
    </rPh>
    <phoneticPr fontId="1"/>
  </si>
  <si>
    <t>不燃分必要打数</t>
    <rPh sb="0" eb="2">
      <t>フネン</t>
    </rPh>
    <rPh sb="2" eb="3">
      <t>ブン</t>
    </rPh>
    <rPh sb="3" eb="5">
      <t>ヒツヨウ</t>
    </rPh>
    <rPh sb="5" eb="7">
      <t>ダスウ</t>
    </rPh>
    <phoneticPr fontId="1"/>
  </si>
  <si>
    <t>平常時必要打数</t>
    <rPh sb="0" eb="2">
      <t>ヘイジョウ</t>
    </rPh>
    <rPh sb="2" eb="3">
      <t>ジ</t>
    </rPh>
    <rPh sb="3" eb="5">
      <t>ヒツヨウ</t>
    </rPh>
    <rPh sb="5" eb="7">
      <t>ダスウ</t>
    </rPh>
    <phoneticPr fontId="1"/>
  </si>
  <si>
    <t>合計必要打数</t>
    <rPh sb="0" eb="2">
      <t>ゴウケイ</t>
    </rPh>
    <rPh sb="2" eb="4">
      <t>ヒツヨウ</t>
    </rPh>
    <rPh sb="4" eb="6">
      <t>ダスウ</t>
    </rPh>
    <phoneticPr fontId="1"/>
  </si>
  <si>
    <t>後半実必要打数</t>
    <rPh sb="0" eb="2">
      <t>コウハン</t>
    </rPh>
    <rPh sb="2" eb="3">
      <t>ジツ</t>
    </rPh>
    <rPh sb="3" eb="5">
      <t>ヒツヨウ</t>
    </rPh>
    <rPh sb="5" eb="7">
      <t>ダスウ</t>
    </rPh>
    <phoneticPr fontId="1"/>
  </si>
  <si>
    <t>実炎上時打数</t>
    <rPh sb="0" eb="1">
      <t>ジツ</t>
    </rPh>
    <rPh sb="1" eb="3">
      <t>エンジョウ</t>
    </rPh>
    <rPh sb="3" eb="4">
      <t>ジ</t>
    </rPh>
    <rPh sb="4" eb="6">
      <t>ダスウ</t>
    </rPh>
    <phoneticPr fontId="1"/>
  </si>
  <si>
    <t>発火の可能性</t>
    <rPh sb="0" eb="2">
      <t>ハッカ</t>
    </rPh>
    <rPh sb="3" eb="6">
      <t>カノウセイ</t>
    </rPh>
    <phoneticPr fontId="1"/>
  </si>
  <si>
    <t>男10服</t>
  </si>
  <si>
    <t>発火効果率計算</t>
    <rPh sb="0" eb="2">
      <t>ハッカ</t>
    </rPh>
    <rPh sb="2" eb="4">
      <t>コウカ</t>
    </rPh>
    <rPh sb="4" eb="5">
      <t>リツ</t>
    </rPh>
    <rPh sb="5" eb="7">
      <t>ケイサン</t>
    </rPh>
    <phoneticPr fontId="1"/>
  </si>
  <si>
    <t>分間攻撃回数、カウンター発生率、敵防御力、行動力回復上限は適当に入力してありますが信憑性低めです。</t>
    <rPh sb="0" eb="2">
      <t>フンカン</t>
    </rPh>
    <rPh sb="2" eb="4">
      <t>コウゲキ</t>
    </rPh>
    <rPh sb="4" eb="6">
      <t>カイスウ</t>
    </rPh>
    <rPh sb="12" eb="14">
      <t>ハッセイ</t>
    </rPh>
    <rPh sb="14" eb="15">
      <t>リツ</t>
    </rPh>
    <rPh sb="16" eb="17">
      <t>テキ</t>
    </rPh>
    <rPh sb="17" eb="20">
      <t>ボウギョリョク</t>
    </rPh>
    <rPh sb="21" eb="24">
      <t>コウドウリョク</t>
    </rPh>
    <rPh sb="24" eb="26">
      <t>カイフク</t>
    </rPh>
    <rPh sb="26" eb="28">
      <t>ジョウゲン</t>
    </rPh>
    <rPh sb="29" eb="31">
      <t>テキトウ</t>
    </rPh>
    <rPh sb="32" eb="34">
      <t>ニュウリョク</t>
    </rPh>
    <rPh sb="41" eb="44">
      <t>シンピョウセイ</t>
    </rPh>
    <rPh sb="44" eb="45">
      <t>ヒク</t>
    </rPh>
    <phoneticPr fontId="1"/>
  </si>
  <si>
    <t>計算型のときは、いくつかの数字が固定されます。</t>
    <rPh sb="0" eb="2">
      <t>ケイサン</t>
    </rPh>
    <rPh sb="2" eb="3">
      <t>ガタ</t>
    </rPh>
    <rPh sb="13" eb="15">
      <t>スウジ</t>
    </rPh>
    <rPh sb="16" eb="18">
      <t>コテイ</t>
    </rPh>
    <phoneticPr fontId="1"/>
  </si>
  <si>
    <t>ただし体力は、要求される回数だけ最大ダメージを受けても死なない体力を確保できる範囲。</t>
    <rPh sb="3" eb="5">
      <t>タイリョク</t>
    </rPh>
    <rPh sb="7" eb="9">
      <t>ヨウキュウ</t>
    </rPh>
    <rPh sb="12" eb="14">
      <t>カイスウ</t>
    </rPh>
    <rPh sb="16" eb="18">
      <t>サイダイ</t>
    </rPh>
    <rPh sb="23" eb="24">
      <t>ウ</t>
    </rPh>
    <rPh sb="27" eb="28">
      <t>シ</t>
    </rPh>
    <rPh sb="31" eb="33">
      <t>タイリョク</t>
    </rPh>
    <rPh sb="34" eb="36">
      <t>カクホ</t>
    </rPh>
    <rPh sb="39" eb="41">
      <t>ハンイ</t>
    </rPh>
    <phoneticPr fontId="1"/>
  </si>
  <si>
    <t>攻撃回数は、打撃武器はステロ最速とされる162回に。槍は21回、手裏剣は41回に。</t>
    <rPh sb="0" eb="2">
      <t>コウゲキ</t>
    </rPh>
    <rPh sb="2" eb="4">
      <t>カイスウ</t>
    </rPh>
    <rPh sb="6" eb="8">
      <t>ダゲキ</t>
    </rPh>
    <rPh sb="8" eb="10">
      <t>ブキ</t>
    </rPh>
    <rPh sb="14" eb="16">
      <t>サイソク</t>
    </rPh>
    <rPh sb="23" eb="24">
      <t>カイ</t>
    </rPh>
    <rPh sb="26" eb="27">
      <t>ヤリ</t>
    </rPh>
    <rPh sb="30" eb="31">
      <t>カイ</t>
    </rPh>
    <rPh sb="32" eb="35">
      <t>シュリケン</t>
    </rPh>
    <rPh sb="38" eb="39">
      <t>カイ</t>
    </rPh>
    <phoneticPr fontId="1"/>
  </si>
  <si>
    <t>発火効果率は、発揮威力と敵HPから適当に計算されます。</t>
    <rPh sb="0" eb="2">
      <t>ハッカ</t>
    </rPh>
    <rPh sb="2" eb="4">
      <t>コウカ</t>
    </rPh>
    <rPh sb="4" eb="5">
      <t>リツ</t>
    </rPh>
    <rPh sb="7" eb="9">
      <t>ハッキ</t>
    </rPh>
    <rPh sb="9" eb="11">
      <t>イリョク</t>
    </rPh>
    <rPh sb="12" eb="13">
      <t>テキ</t>
    </rPh>
    <rPh sb="17" eb="19">
      <t>テキトウ</t>
    </rPh>
    <rPh sb="20" eb="22">
      <t>ケイサン</t>
    </rPh>
    <phoneticPr fontId="1"/>
  </si>
  <si>
    <t>敵攻撃力-防御力</t>
    <rPh sb="0" eb="1">
      <t>テキ</t>
    </rPh>
    <rPh sb="1" eb="4">
      <t>コウゲキリョク</t>
    </rPh>
    <rPh sb="5" eb="8">
      <t>ボウギョリョク</t>
    </rPh>
    <phoneticPr fontId="1"/>
  </si>
  <si>
    <t>敵攻撃力*0.2</t>
    <rPh sb="0" eb="1">
      <t>テキ</t>
    </rPh>
    <rPh sb="1" eb="4">
      <t>コウゲキリョク</t>
    </rPh>
    <phoneticPr fontId="1"/>
  </si>
  <si>
    <t>被ダメ基本値とダメ下限のうち大きい方*1.25、ただし警察職は考慮</t>
    <rPh sb="0" eb="1">
      <t>ヒ</t>
    </rPh>
    <rPh sb="3" eb="5">
      <t>キホン</t>
    </rPh>
    <rPh sb="5" eb="6">
      <t>チ</t>
    </rPh>
    <rPh sb="9" eb="11">
      <t>カゲン</t>
    </rPh>
    <rPh sb="14" eb="15">
      <t>オオ</t>
    </rPh>
    <rPh sb="17" eb="18">
      <t>ホウ</t>
    </rPh>
    <rPh sb="27" eb="29">
      <t>ケイサツ</t>
    </rPh>
    <rPh sb="29" eb="30">
      <t>ショク</t>
    </rPh>
    <rPh sb="31" eb="33">
      <t>コウリョ</t>
    </rPh>
    <phoneticPr fontId="1"/>
  </si>
  <si>
    <t>((ダメ最大値*要求耐久回数-コスの追加HP+1)/変異体補正-100-レベルの10の位*30+100)/9-レベル、ただし小数点以下切り上げ</t>
    <phoneticPr fontId="1"/>
  </si>
  <si>
    <t>体力/最大ダメ、ただし小数点以下切り捨て</t>
    <rPh sb="0" eb="2">
      <t>タイリョク</t>
    </rPh>
    <rPh sb="3" eb="5">
      <t>サイダイ</t>
    </rPh>
    <rPh sb="11" eb="14">
      <t>ショウスウテン</t>
    </rPh>
    <rPh sb="14" eb="16">
      <t>イカ</t>
    </rPh>
    <rPh sb="16" eb="17">
      <t>キ</t>
    </rPh>
    <rPh sb="18" eb="19">
      <t>ス</t>
    </rPh>
    <phoneticPr fontId="1"/>
  </si>
  <si>
    <t>緑の欄は変化しない文字。水色の欄は自由記入欄、ピンクの欄はリストから選択、赤い欄は記入した内容によって変わる欄です。</t>
    <rPh sb="0" eb="1">
      <t>ミドリ</t>
    </rPh>
    <rPh sb="2" eb="3">
      <t>ラン</t>
    </rPh>
    <rPh sb="4" eb="6">
      <t>ヘンカ</t>
    </rPh>
    <rPh sb="9" eb="11">
      <t>モジ</t>
    </rPh>
    <rPh sb="12" eb="14">
      <t>ミズイロ</t>
    </rPh>
    <rPh sb="15" eb="16">
      <t>ラン</t>
    </rPh>
    <rPh sb="17" eb="19">
      <t>ジユウ</t>
    </rPh>
    <rPh sb="19" eb="21">
      <t>キニュウ</t>
    </rPh>
    <rPh sb="21" eb="22">
      <t>ラン</t>
    </rPh>
    <rPh sb="27" eb="28">
      <t>ラン</t>
    </rPh>
    <rPh sb="34" eb="36">
      <t>センタク</t>
    </rPh>
    <rPh sb="37" eb="38">
      <t>アカ</t>
    </rPh>
    <rPh sb="39" eb="40">
      <t>ラン</t>
    </rPh>
    <rPh sb="41" eb="43">
      <t>キニュウ</t>
    </rPh>
    <rPh sb="45" eb="47">
      <t>ナイヨウ</t>
    </rPh>
    <rPh sb="51" eb="52">
      <t>カ</t>
    </rPh>
    <rPh sb="54" eb="55">
      <t>ラン</t>
    </rPh>
    <phoneticPr fontId="1"/>
  </si>
</sst>
</file>

<file path=xl/styles.xml><?xml version="1.0" encoding="utf-8"?>
<styleSheet xmlns="http://schemas.openxmlformats.org/spreadsheetml/2006/main">
  <fonts count="8">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name val="Verdana"/>
      <family val="2"/>
    </font>
    <font>
      <sz val="8"/>
      <name val="ＭＳ Ｐゴシック"/>
      <family val="2"/>
      <charset val="128"/>
      <scheme val="minor"/>
    </font>
    <font>
      <sz val="11"/>
      <color rgb="FFC00000"/>
      <name val="ＭＳ Ｐゴシック"/>
      <family val="2"/>
      <charset val="128"/>
      <scheme val="minor"/>
    </font>
    <font>
      <sz val="8"/>
      <color theme="1" tint="0.499984740745262"/>
      <name val="ＭＳ Ｐゴシック"/>
      <family val="2"/>
      <charset val="128"/>
      <scheme val="minor"/>
    </font>
    <font>
      <sz val="8"/>
      <color theme="1" tint="0.499984740745262"/>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2" fillId="2" borderId="0" xfId="0" applyFont="1" applyFill="1" applyAlignment="1">
      <alignment horizontal="center" vertical="center"/>
    </xf>
    <xf numFmtId="0" fontId="2" fillId="3" borderId="0" xfId="0" applyFont="1" applyFill="1">
      <alignment vertical="center"/>
    </xf>
    <xf numFmtId="0" fontId="2" fillId="2" borderId="0" xfId="0" applyFont="1" applyFill="1">
      <alignment vertical="center"/>
    </xf>
    <xf numFmtId="0" fontId="2" fillId="2" borderId="0" xfId="0" applyFont="1" applyFill="1" applyBorder="1">
      <alignment vertical="center"/>
    </xf>
    <xf numFmtId="0" fontId="2" fillId="0" borderId="0" xfId="0" applyFont="1" applyFill="1">
      <alignment vertical="center"/>
    </xf>
    <xf numFmtId="0" fontId="2" fillId="3" borderId="0" xfId="0" applyFont="1" applyFill="1" applyAlignment="1">
      <alignment horizontal="center" vertical="center"/>
    </xf>
    <xf numFmtId="0" fontId="3" fillId="0" borderId="0" xfId="0" applyFont="1" applyAlignment="1">
      <alignment vertical="center"/>
    </xf>
    <xf numFmtId="0" fontId="3" fillId="0" borderId="0" xfId="0" applyFont="1" applyAlignment="1" applyProtection="1">
      <alignment vertical="center"/>
    </xf>
    <xf numFmtId="0" fontId="4" fillId="6" borderId="1"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4" fillId="8" borderId="1"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xf>
    <xf numFmtId="0" fontId="4" fillId="6" borderId="4"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5" fillId="0" borderId="0" xfId="0" applyFont="1">
      <alignment vertical="center"/>
    </xf>
    <xf numFmtId="0" fontId="4" fillId="7" borderId="1" xfId="0" applyFont="1" applyFill="1" applyBorder="1" applyAlignment="1" applyProtection="1">
      <alignment horizontal="center" vertical="center"/>
    </xf>
    <xf numFmtId="0" fontId="4" fillId="6" borderId="0" xfId="0" applyFont="1" applyFill="1" applyAlignment="1" applyProtection="1">
      <alignment horizontal="center" vertical="center"/>
    </xf>
    <xf numFmtId="0" fontId="6" fillId="5" borderId="0" xfId="0" applyFont="1" applyFill="1" applyAlignment="1" applyProtection="1">
      <alignment horizontal="center" vertical="center"/>
    </xf>
    <xf numFmtId="0" fontId="6" fillId="5" borderId="0" xfId="0" applyFont="1" applyFill="1" applyAlignment="1" applyProtection="1">
      <alignment horizontal="center" vertical="center"/>
    </xf>
    <xf numFmtId="0" fontId="7" fillId="5" borderId="0" xfId="0" applyFont="1" applyFill="1" applyAlignment="1" applyProtection="1">
      <alignment vertical="center"/>
    </xf>
    <xf numFmtId="0" fontId="6" fillId="5" borderId="0" xfId="0"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protection locked="0"/>
    </xf>
    <xf numFmtId="0" fontId="4" fillId="6" borderId="0" xfId="0" applyFont="1" applyFill="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6" borderId="0" xfId="0" applyFont="1" applyFill="1" applyAlignment="1" applyProtection="1">
      <alignment horizontal="center" vertical="center"/>
    </xf>
    <xf numFmtId="0" fontId="4" fillId="7" borderId="1" xfId="0" applyFont="1" applyFill="1" applyBorder="1" applyAlignment="1" applyProtection="1">
      <alignment horizontal="center" vertical="center"/>
    </xf>
    <xf numFmtId="0" fontId="4" fillId="7" borderId="4" xfId="0" applyFont="1" applyFill="1" applyBorder="1" applyAlignment="1" applyProtection="1">
      <alignment horizontal="center" vertical="center"/>
    </xf>
    <xf numFmtId="0" fontId="4" fillId="7" borderId="1" xfId="0" applyFont="1" applyFill="1" applyBorder="1" applyAlignment="1" applyProtection="1">
      <alignment horizontal="center" vertical="center"/>
    </xf>
    <xf numFmtId="0" fontId="6" fillId="5" borderId="0" xfId="0" applyFont="1" applyFill="1" applyAlignment="1" applyProtection="1">
      <alignment horizontal="center" vertical="center"/>
    </xf>
    <xf numFmtId="0" fontId="4" fillId="5" borderId="0" xfId="0" applyFont="1" applyFill="1" applyAlignment="1" applyProtection="1">
      <alignment horizontal="center" vertical="center"/>
    </xf>
    <xf numFmtId="0" fontId="2" fillId="3" borderId="0" xfId="0" applyFont="1" applyFill="1" applyAlignment="1">
      <alignment horizontal="center" vertical="center"/>
    </xf>
    <xf numFmtId="0" fontId="3" fillId="0" borderId="0" xfId="0" applyFont="1" applyAlignment="1" applyProtection="1">
      <alignment horizontal="center" vertical="center"/>
    </xf>
    <xf numFmtId="0" fontId="4" fillId="7" borderId="1" xfId="0" applyFont="1" applyFill="1" applyBorder="1" applyAlignment="1" applyProtection="1">
      <alignment horizontal="center" vertical="center"/>
    </xf>
    <xf numFmtId="0" fontId="6" fillId="5" borderId="0" xfId="0" applyFont="1" applyFill="1" applyAlignment="1" applyProtection="1">
      <alignment horizontal="center" vertical="center"/>
    </xf>
    <xf numFmtId="0" fontId="4" fillId="7" borderId="4" xfId="0" applyFont="1" applyFill="1" applyBorder="1" applyAlignment="1" applyProtection="1">
      <alignment horizontal="center" vertical="center"/>
    </xf>
    <xf numFmtId="0" fontId="4" fillId="6" borderId="5" xfId="0" applyFont="1" applyFill="1" applyBorder="1" applyAlignment="1" applyProtection="1">
      <alignment horizontal="center" vertical="center"/>
    </xf>
    <xf numFmtId="0" fontId="4" fillId="6" borderId="3" xfId="0"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xf>
    <xf numFmtId="0" fontId="4" fillId="6" borderId="0" xfId="0" applyFont="1" applyFill="1" applyAlignment="1" applyProtection="1">
      <alignment horizontal="center" vertical="center"/>
    </xf>
    <xf numFmtId="0" fontId="4" fillId="5" borderId="0" xfId="0" applyFont="1" applyFill="1" applyAlignment="1" applyProtection="1">
      <alignment horizontal="center" vertical="center"/>
    </xf>
    <xf numFmtId="0" fontId="3" fillId="0" borderId="0" xfId="0" applyFont="1" applyAlignment="1">
      <alignment horizontal="center" vertical="center"/>
    </xf>
    <xf numFmtId="0" fontId="2" fillId="3" borderId="0" xfId="0" applyFont="1" applyFill="1" applyAlignment="1">
      <alignment horizontal="center" vertical="center"/>
    </xf>
    <xf numFmtId="0" fontId="4" fillId="4" borderId="1" xfId="0" applyFont="1" applyFill="1" applyBorder="1" applyAlignment="1" applyProtection="1">
      <alignment horizontal="center" vertical="center"/>
    </xf>
    <xf numFmtId="0" fontId="4" fillId="6" borderId="1"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4" fillId="8" borderId="1"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0" xfId="0" applyFont="1" applyFill="1" applyAlignment="1" applyProtection="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71"/>
  <sheetViews>
    <sheetView showRowColHeaders="0" workbookViewId="0">
      <selection activeCell="A14" sqref="A14"/>
    </sheetView>
  </sheetViews>
  <sheetFormatPr defaultRowHeight="13.5"/>
  <cols>
    <col min="1" max="1" width="13.5" customWidth="1"/>
  </cols>
  <sheetData>
    <row r="1" spans="1:9">
      <c r="A1" s="9" t="s">
        <v>246</v>
      </c>
      <c r="B1" s="9"/>
      <c r="C1" s="9"/>
      <c r="D1" s="9"/>
      <c r="E1" s="9"/>
      <c r="F1" s="9"/>
      <c r="G1" s="9"/>
      <c r="H1" s="9"/>
      <c r="I1" s="9"/>
    </row>
    <row r="4" spans="1:9">
      <c r="A4" t="s">
        <v>259</v>
      </c>
    </row>
    <row r="5" spans="1:9">
      <c r="A5" t="s">
        <v>323</v>
      </c>
    </row>
    <row r="6" spans="1:9">
      <c r="A6" t="s">
        <v>260</v>
      </c>
    </row>
    <row r="7" spans="1:9">
      <c r="A7" t="s">
        <v>322</v>
      </c>
    </row>
    <row r="9" spans="1:9">
      <c r="A9" t="s">
        <v>357</v>
      </c>
    </row>
    <row r="11" spans="1:9">
      <c r="A11" t="s">
        <v>268</v>
      </c>
    </row>
    <row r="13" spans="1:9">
      <c r="A13" t="s">
        <v>418</v>
      </c>
    </row>
    <row r="14" spans="1:9">
      <c r="A14" t="s">
        <v>327</v>
      </c>
    </row>
    <row r="16" spans="1:9">
      <c r="A16" s="21" t="s">
        <v>318</v>
      </c>
    </row>
    <row r="17" spans="1:1">
      <c r="A17" t="s">
        <v>408</v>
      </c>
    </row>
    <row r="19" spans="1:1">
      <c r="A19" t="s">
        <v>319</v>
      </c>
    </row>
    <row r="20" spans="1:1">
      <c r="A20" t="s">
        <v>320</v>
      </c>
    </row>
    <row r="21" spans="1:1">
      <c r="A21" t="s">
        <v>321</v>
      </c>
    </row>
    <row r="22" spans="1:1">
      <c r="A22" t="s">
        <v>324</v>
      </c>
    </row>
    <row r="23" spans="1:1">
      <c r="A23" t="s">
        <v>325</v>
      </c>
    </row>
    <row r="24" spans="1:1">
      <c r="A24" t="s">
        <v>410</v>
      </c>
    </row>
    <row r="26" spans="1:1">
      <c r="A26" t="s">
        <v>326</v>
      </c>
    </row>
    <row r="27" spans="1:1">
      <c r="A27" s="21" t="s">
        <v>341</v>
      </c>
    </row>
    <row r="29" spans="1:1">
      <c r="A29" t="s">
        <v>331</v>
      </c>
    </row>
    <row r="30" spans="1:1">
      <c r="A30" t="s">
        <v>356</v>
      </c>
    </row>
    <row r="31" spans="1:1">
      <c r="A31" t="s">
        <v>329</v>
      </c>
    </row>
    <row r="32" spans="1:1">
      <c r="A32" t="s">
        <v>330</v>
      </c>
    </row>
    <row r="34" spans="1:2">
      <c r="A34" t="s">
        <v>409</v>
      </c>
    </row>
    <row r="35" spans="1:2">
      <c r="A35" t="s">
        <v>411</v>
      </c>
    </row>
    <row r="36" spans="1:2">
      <c r="A36" t="s">
        <v>412</v>
      </c>
    </row>
    <row r="40" spans="1:2">
      <c r="A40" t="s">
        <v>269</v>
      </c>
    </row>
    <row r="41" spans="1:2" ht="9" customHeight="1">
      <c r="A41" s="1" t="s">
        <v>272</v>
      </c>
      <c r="B41" s="1" t="s">
        <v>279</v>
      </c>
    </row>
    <row r="42" spans="1:2" ht="9" customHeight="1">
      <c r="A42" s="1" t="s">
        <v>273</v>
      </c>
      <c r="B42" s="1" t="s">
        <v>275</v>
      </c>
    </row>
    <row r="43" spans="1:2" ht="9" customHeight="1">
      <c r="A43" s="1" t="s">
        <v>274</v>
      </c>
      <c r="B43" s="1" t="s">
        <v>276</v>
      </c>
    </row>
    <row r="44" spans="1:2" ht="9" customHeight="1">
      <c r="A44" s="1" t="s">
        <v>277</v>
      </c>
      <c r="B44" s="1" t="s">
        <v>278</v>
      </c>
    </row>
    <row r="45" spans="1:2" ht="9" customHeight="1">
      <c r="A45" s="1" t="s">
        <v>6</v>
      </c>
      <c r="B45" s="1" t="s">
        <v>342</v>
      </c>
    </row>
    <row r="46" spans="1:2" ht="9" customHeight="1">
      <c r="A46" s="1" t="s">
        <v>280</v>
      </c>
      <c r="B46" s="1" t="s">
        <v>283</v>
      </c>
    </row>
    <row r="47" spans="1:2" ht="9" customHeight="1">
      <c r="A47" s="1" t="s">
        <v>281</v>
      </c>
      <c r="B47" s="1" t="s">
        <v>284</v>
      </c>
    </row>
    <row r="48" spans="1:2" ht="9" customHeight="1">
      <c r="A48" s="1" t="s">
        <v>282</v>
      </c>
      <c r="B48" s="1" t="s">
        <v>285</v>
      </c>
    </row>
    <row r="49" spans="1:2" ht="9" customHeight="1">
      <c r="A49" s="1" t="s">
        <v>286</v>
      </c>
      <c r="B49" s="1" t="s">
        <v>288</v>
      </c>
    </row>
    <row r="50" spans="1:2" ht="9" customHeight="1">
      <c r="A50" s="1" t="s">
        <v>287</v>
      </c>
      <c r="B50" s="1" t="s">
        <v>289</v>
      </c>
    </row>
    <row r="51" spans="1:2" ht="9" customHeight="1">
      <c r="A51" s="1" t="s">
        <v>290</v>
      </c>
      <c r="B51" s="1" t="s">
        <v>293</v>
      </c>
    </row>
    <row r="52" spans="1:2" ht="9" customHeight="1">
      <c r="A52" s="1" t="s">
        <v>291</v>
      </c>
      <c r="B52" s="1" t="s">
        <v>294</v>
      </c>
    </row>
    <row r="53" spans="1:2" ht="9" customHeight="1">
      <c r="A53" s="1" t="s">
        <v>292</v>
      </c>
      <c r="B53" s="1" t="s">
        <v>295</v>
      </c>
    </row>
    <row r="54" spans="1:2" ht="9" customHeight="1">
      <c r="A54" s="1" t="s">
        <v>296</v>
      </c>
      <c r="B54" s="1" t="s">
        <v>297</v>
      </c>
    </row>
    <row r="55" spans="1:2" ht="9" customHeight="1">
      <c r="A55" s="1" t="s">
        <v>298</v>
      </c>
      <c r="B55" s="1" t="s">
        <v>299</v>
      </c>
    </row>
    <row r="56" spans="1:2" ht="9" customHeight="1">
      <c r="A56" s="1" t="s">
        <v>300</v>
      </c>
      <c r="B56" s="1" t="s">
        <v>301</v>
      </c>
    </row>
    <row r="57" spans="1:2" ht="9" customHeight="1">
      <c r="A57" s="1" t="s">
        <v>302</v>
      </c>
      <c r="B57" s="1" t="s">
        <v>303</v>
      </c>
    </row>
    <row r="58" spans="1:2" ht="9" customHeight="1">
      <c r="A58" s="1" t="s">
        <v>304</v>
      </c>
      <c r="B58" s="1" t="s">
        <v>305</v>
      </c>
    </row>
    <row r="59" spans="1:2" ht="9" customHeight="1">
      <c r="A59" s="1" t="s">
        <v>306</v>
      </c>
      <c r="B59" s="1" t="s">
        <v>307</v>
      </c>
    </row>
    <row r="60" spans="1:2" ht="9" customHeight="1">
      <c r="A60" s="1" t="s">
        <v>308</v>
      </c>
      <c r="B60" s="1" t="s">
        <v>309</v>
      </c>
    </row>
    <row r="61" spans="1:2" ht="9" customHeight="1">
      <c r="A61" s="1" t="s">
        <v>310</v>
      </c>
      <c r="B61" s="1" t="s">
        <v>311</v>
      </c>
    </row>
    <row r="62" spans="1:2" ht="9" customHeight="1">
      <c r="A62" s="1" t="s">
        <v>312</v>
      </c>
      <c r="B62" s="1" t="s">
        <v>313</v>
      </c>
    </row>
    <row r="63" spans="1:2" ht="9" customHeight="1">
      <c r="A63" s="1" t="s">
        <v>394</v>
      </c>
      <c r="B63" s="1" t="s">
        <v>413</v>
      </c>
    </row>
    <row r="64" spans="1:2" ht="9" customHeight="1">
      <c r="A64" s="1" t="s">
        <v>381</v>
      </c>
      <c r="B64" s="1" t="s">
        <v>414</v>
      </c>
    </row>
    <row r="65" spans="1:2" ht="9" customHeight="1">
      <c r="A65" s="1" t="s">
        <v>380</v>
      </c>
      <c r="B65" s="1" t="s">
        <v>415</v>
      </c>
    </row>
    <row r="66" spans="1:2" ht="9" customHeight="1">
      <c r="A66" s="1" t="s">
        <v>390</v>
      </c>
      <c r="B66" s="1" t="s">
        <v>417</v>
      </c>
    </row>
    <row r="67" spans="1:2" ht="9" customHeight="1">
      <c r="A67" s="1" t="s">
        <v>387</v>
      </c>
      <c r="B67" s="1" t="s">
        <v>416</v>
      </c>
    </row>
    <row r="68" spans="1:2" ht="9" customHeight="1">
      <c r="A68" s="1"/>
      <c r="B68" s="1"/>
    </row>
    <row r="69" spans="1:2" ht="9" customHeight="1">
      <c r="A69" s="1"/>
      <c r="B69" s="1"/>
    </row>
    <row r="70" spans="1:2" ht="9" customHeight="1">
      <c r="A70" s="1"/>
      <c r="B70" s="1"/>
    </row>
    <row r="71" spans="1:2">
      <c r="A71" t="s">
        <v>314</v>
      </c>
    </row>
  </sheetData>
  <sheetProtection sheet="1" objects="1" scenarios="1" selectLockedCells="1" selectUnlockedCells="1"/>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W42"/>
  <sheetViews>
    <sheetView showRowColHeaders="0" workbookViewId="0">
      <selection activeCell="E35" sqref="E35"/>
    </sheetView>
  </sheetViews>
  <sheetFormatPr defaultRowHeight="9" customHeight="1"/>
  <cols>
    <col min="1" max="1" width="7.5" style="18" customWidth="1"/>
    <col min="2" max="2" width="3.625" style="18" customWidth="1"/>
    <col min="3" max="3" width="8.25" style="18" customWidth="1"/>
    <col min="4" max="4" width="10" style="18" customWidth="1"/>
    <col min="5" max="5" width="8.375" style="18" customWidth="1"/>
    <col min="6" max="6" width="3.625" style="18" customWidth="1"/>
    <col min="7" max="7" width="3.25" style="18" customWidth="1"/>
    <col min="8" max="9" width="3" style="18" customWidth="1"/>
    <col min="10" max="10" width="5" style="18" customWidth="1"/>
    <col min="11" max="11" width="5.625" style="18" customWidth="1"/>
    <col min="12" max="12" width="7.25" style="18" customWidth="1"/>
    <col min="13" max="13" width="5" style="18" customWidth="1"/>
    <col min="14" max="14" width="4.5" style="18" customWidth="1"/>
    <col min="15" max="15" width="6.875" style="18" customWidth="1"/>
    <col min="16" max="16" width="5.625" style="18" customWidth="1"/>
    <col min="17" max="17" width="4.875" style="18" customWidth="1"/>
    <col min="18" max="18" width="6.125" style="18" customWidth="1"/>
    <col min="19" max="19" width="8.75" style="18" customWidth="1"/>
    <col min="20" max="20" width="12.125" style="18" customWidth="1"/>
    <col min="21" max="21" width="3.125" style="18" customWidth="1"/>
    <col min="22" max="22" width="9.75" style="18" customWidth="1"/>
    <col min="23" max="16384" width="9" style="18"/>
  </cols>
  <sheetData>
    <row r="1" spans="1:23" ht="9" customHeight="1">
      <c r="A1" s="12" t="s">
        <v>125</v>
      </c>
      <c r="B1" s="17" t="s">
        <v>142</v>
      </c>
      <c r="D1" s="24">
        <f>VLOOKUP(B1,武器!Q10:R11,2,FALSE)</f>
        <v>1</v>
      </c>
      <c r="Q1" s="46" t="s">
        <v>248</v>
      </c>
      <c r="R1" s="46"/>
      <c r="S1" s="46"/>
    </row>
    <row r="2" spans="1:23" ht="9" customHeight="1">
      <c r="A2" s="12" t="s">
        <v>15</v>
      </c>
      <c r="B2" s="17">
        <v>111</v>
      </c>
      <c r="D2" s="12" t="s">
        <v>25</v>
      </c>
      <c r="E2" s="12" t="s">
        <v>38</v>
      </c>
      <c r="F2" s="12" t="s">
        <v>37</v>
      </c>
      <c r="G2" s="12" t="s">
        <v>48</v>
      </c>
      <c r="H2" s="12" t="s">
        <v>49</v>
      </c>
      <c r="I2" s="12" t="s">
        <v>64</v>
      </c>
      <c r="J2" s="12" t="s">
        <v>0</v>
      </c>
      <c r="K2" s="12" t="s">
        <v>65</v>
      </c>
      <c r="L2" s="12" t="s">
        <v>1</v>
      </c>
      <c r="M2" s="12" t="s">
        <v>66</v>
      </c>
      <c r="N2" s="12" t="s">
        <v>65</v>
      </c>
      <c r="O2" s="20" t="s">
        <v>6</v>
      </c>
      <c r="P2" s="12" t="s">
        <v>67</v>
      </c>
      <c r="Q2" s="12" t="s">
        <v>65</v>
      </c>
      <c r="R2" s="12" t="s">
        <v>247</v>
      </c>
      <c r="S2" s="12" t="s">
        <v>50</v>
      </c>
    </row>
    <row r="3" spans="1:23" ht="9" customHeight="1">
      <c r="A3" s="12" t="s">
        <v>19</v>
      </c>
      <c r="B3" s="10">
        <f>VLOOKUP(B2,ポイント!$A$1:$D$43,4,FALSE)</f>
        <v>630</v>
      </c>
      <c r="D3" s="28" t="s">
        <v>54</v>
      </c>
      <c r="E3" s="10" t="str">
        <f>VLOOKUP(D3,武器!$A$2:$L$29,3,FALSE)</f>
        <v>剣</v>
      </c>
      <c r="F3" s="10">
        <f>VLOOKUP(D3,武器!$A$2:$L$29,5,FALSE)</f>
        <v>9</v>
      </c>
      <c r="G3" s="17" t="s">
        <v>68</v>
      </c>
      <c r="H3" s="17" t="s">
        <v>68</v>
      </c>
      <c r="I3" s="17" t="s">
        <v>68</v>
      </c>
      <c r="J3" s="10">
        <f>VLOOKUP(D3,武器!$A$2:$L$29,6,FALSE)</f>
        <v>5000</v>
      </c>
      <c r="K3" s="10">
        <f>ROUNDDOWN(J3*VLOOKUP(G3,武器!$Q$2:$R$7,2,FALSE),0)</f>
        <v>7500</v>
      </c>
      <c r="L3" s="10">
        <f>ROUNDDOWN((K3*(B5/100+1)+B5)*K25*P25,0)</f>
        <v>37900</v>
      </c>
      <c r="M3" s="10">
        <f>VLOOKUP(D3,武器!$A$2:$L$29,7,FALSE)</f>
        <v>16</v>
      </c>
      <c r="N3" s="10">
        <f>ROUNDDOWN(M3*VLOOKUP(H3,武器!$Q$2:$R$7,2,FALSE),0)</f>
        <v>24</v>
      </c>
      <c r="O3" s="10">
        <f>IF(O4&gt;0.5,0.5,O4)</f>
        <v>0.09</v>
      </c>
      <c r="P3" s="10">
        <f>VLOOKUP(D3,武器!$A$2:$L$29,8,FALSE)</f>
        <v>63</v>
      </c>
      <c r="Q3" s="10">
        <f>ROUNDDOWN(P3*VLOOKUP(I3,武器!$Q$2:$R$7,2,FALSE),0)</f>
        <v>94</v>
      </c>
      <c r="R3" s="10">
        <f>IF(ROUNDDOWN(Q3*(B7/100+1),0)&gt;100,100,ROUNDDOWN(Q3*(B7/100+1),0))</f>
        <v>100</v>
      </c>
      <c r="S3" s="10">
        <f>VLOOKUP(D3,武器!$A$2:$L$29,10,FALSE)</f>
        <v>400</v>
      </c>
    </row>
    <row r="4" spans="1:23" ht="9" customHeight="1">
      <c r="A4" s="12" t="s">
        <v>23</v>
      </c>
      <c r="B4" s="13">
        <v>5</v>
      </c>
      <c r="D4" s="12" t="s">
        <v>74</v>
      </c>
      <c r="E4" s="12" t="s">
        <v>59</v>
      </c>
      <c r="O4" s="27">
        <f>ROUNDDOWN((((N3*(B7/100+1))/5)+1)/100,2)</f>
        <v>0.09</v>
      </c>
    </row>
    <row r="5" spans="1:23" ht="9" customHeight="1">
      <c r="A5" s="12" t="s">
        <v>4</v>
      </c>
      <c r="B5" s="13">
        <v>400</v>
      </c>
      <c r="D5" s="10">
        <f>VLOOKUP(D3,武器!$A$2:$L$29,12,FALSE)</f>
        <v>40</v>
      </c>
      <c r="E5" s="10" t="str">
        <f>VLOOKUP(D3,武器!$A$2:$L$29,4,FALSE)</f>
        <v>小</v>
      </c>
      <c r="T5" s="11"/>
      <c r="U5" s="12" t="s">
        <v>101</v>
      </c>
      <c r="V5" s="12" t="s">
        <v>236</v>
      </c>
      <c r="W5" s="12" t="s">
        <v>50</v>
      </c>
    </row>
    <row r="6" spans="1:23" ht="9" customHeight="1">
      <c r="A6" s="12" t="s">
        <v>22</v>
      </c>
      <c r="B6" s="13">
        <v>100</v>
      </c>
      <c r="T6" s="12" t="s">
        <v>100</v>
      </c>
      <c r="U6" s="10">
        <f>ROUNDUP(M13/30,0)+ROUNDUP(M14/30,0)+ROUNDUP(M15/30,0)+ROUNDUP(M16/30,0)+ROUNDUP(M17/30,0)+ROUNDUP(M18/30,0)+ROUNDUP(M19/30,0)+ROUNDUP(F22/30,0)+ROUNDUP(M3/100,0)+ROUNDDOWN(F25-0.01,0)+ROUNDDOWN(F26-0.01,0)</f>
        <v>8</v>
      </c>
      <c r="V6" s="10"/>
      <c r="W6" s="10">
        <f>S3+G22+Q20+ROUNDDOWN(F25-0.01,0)+ROUNDDOWN(F26-0.01,0)</f>
        <v>559</v>
      </c>
    </row>
    <row r="7" spans="1:23" ht="9" customHeight="1">
      <c r="A7" s="12" t="s">
        <v>5</v>
      </c>
      <c r="B7" s="13">
        <v>70</v>
      </c>
      <c r="D7" s="12" t="s">
        <v>4</v>
      </c>
      <c r="E7" s="10">
        <f>ROUNDDOWN(((B2+B5)*9+ROUNDDOWN(B2/10,0)*30+100)*R25,0)+L25</f>
        <v>5029</v>
      </c>
      <c r="G7" s="40" t="s">
        <v>93</v>
      </c>
      <c r="H7" s="40"/>
      <c r="I7" s="40"/>
      <c r="J7" s="10">
        <f>ROUNDDOWN((B2*3+50)*P28,0)</f>
        <v>383</v>
      </c>
      <c r="L7" s="12" t="s">
        <v>85</v>
      </c>
      <c r="M7" s="10">
        <f>ROUNDDOWN((K20*F11*(1+B6/100)+B6/2)*F25*F26*J28,0)</f>
        <v>2533</v>
      </c>
      <c r="O7" s="40" t="s">
        <v>95</v>
      </c>
      <c r="P7" s="40"/>
      <c r="Q7" s="10">
        <f>100+ROUNDDOWN(B2/3,0)</f>
        <v>137</v>
      </c>
      <c r="T7" s="12" t="s">
        <v>137</v>
      </c>
      <c r="U7" s="13">
        <v>1</v>
      </c>
      <c r="V7" s="13"/>
      <c r="W7" s="10">
        <f>U7*V7</f>
        <v>0</v>
      </c>
    </row>
    <row r="8" spans="1:23" ht="9" customHeight="1">
      <c r="A8" s="12" t="s">
        <v>13</v>
      </c>
      <c r="B8" s="13">
        <v>15</v>
      </c>
      <c r="D8" s="12" t="s">
        <v>72</v>
      </c>
      <c r="E8" s="10">
        <f>(B2+B6)*9</f>
        <v>1899</v>
      </c>
      <c r="G8" s="40" t="s">
        <v>94</v>
      </c>
      <c r="H8" s="40"/>
      <c r="I8" s="40"/>
      <c r="J8" s="10">
        <f>ROUNDUP(E8/J7,0)</f>
        <v>5</v>
      </c>
      <c r="L8" s="12" t="s">
        <v>90</v>
      </c>
      <c r="M8" s="10">
        <f>E22</f>
        <v>0</v>
      </c>
      <c r="O8" s="40" t="s">
        <v>96</v>
      </c>
      <c r="P8" s="40"/>
      <c r="Q8" s="10">
        <f>ROUNDDOWN((B2*4.5+B6*3.5)*R26,0)</f>
        <v>849</v>
      </c>
      <c r="U8" s="14"/>
      <c r="V8" s="14"/>
    </row>
    <row r="9" spans="1:23" ht="9" customHeight="1">
      <c r="A9" s="12" t="s">
        <v>14</v>
      </c>
      <c r="B9" s="13">
        <v>40</v>
      </c>
      <c r="D9" s="12" t="s">
        <v>73</v>
      </c>
      <c r="E9" s="10">
        <f>(B2+B8)*9</f>
        <v>1134</v>
      </c>
      <c r="G9" s="40" t="s">
        <v>103</v>
      </c>
      <c r="H9" s="40"/>
      <c r="I9" s="40"/>
      <c r="J9" s="10">
        <f>IF(R22&gt;P27,P27,R22)</f>
        <v>150</v>
      </c>
      <c r="L9" s="12" t="s">
        <v>89</v>
      </c>
      <c r="M9" s="10">
        <f>IF(N9&gt;0.5,0.5,N9)</f>
        <v>0.3</v>
      </c>
      <c r="N9" s="24">
        <f>ROUNDDOWN((((N20+F22+G25+G26)*(1+B9/100)+B9)/10+1)*K28,0)/100</f>
        <v>0.3</v>
      </c>
      <c r="O9" s="40" t="s">
        <v>97</v>
      </c>
      <c r="P9" s="40"/>
      <c r="Q9" s="10">
        <f>ROUNDDOWN(Q8*I28*R22/J9,0)+I25+I26</f>
        <v>1180</v>
      </c>
      <c r="S9" s="12" t="s">
        <v>109</v>
      </c>
      <c r="T9" s="12" t="s">
        <v>138</v>
      </c>
      <c r="U9" s="13">
        <v>1</v>
      </c>
      <c r="V9" s="13">
        <v>1</v>
      </c>
      <c r="W9" s="10">
        <f>U9</f>
        <v>1</v>
      </c>
    </row>
    <row r="10" spans="1:23" ht="9" customHeight="1">
      <c r="A10" s="12" t="s">
        <v>265</v>
      </c>
      <c r="B10" s="10">
        <f>B3-B4-B5-B6-B7-B8-B9</f>
        <v>0</v>
      </c>
      <c r="L10" s="12" t="s">
        <v>107</v>
      </c>
      <c r="M10" s="10">
        <f>IF(N10&gt;0.5,0.5,N10)</f>
        <v>0</v>
      </c>
      <c r="N10" s="24">
        <f>IF(B4=5,0,(B4+J25)/200)</f>
        <v>0</v>
      </c>
      <c r="T10" s="12" t="s">
        <v>139</v>
      </c>
      <c r="U10" s="13">
        <v>1</v>
      </c>
      <c r="V10" s="13">
        <v>1</v>
      </c>
      <c r="W10" s="10">
        <f>U10</f>
        <v>1</v>
      </c>
    </row>
    <row r="11" spans="1:23" ht="9" customHeight="1">
      <c r="D11" s="12" t="s">
        <v>264</v>
      </c>
      <c r="E11" s="15" t="s">
        <v>252</v>
      </c>
      <c r="F11" s="24">
        <f>IF(E12=1,1.05,1)</f>
        <v>1.05</v>
      </c>
      <c r="T11" s="12" t="s">
        <v>213</v>
      </c>
      <c r="U11" s="13">
        <v>2</v>
      </c>
      <c r="V11" s="13">
        <v>1</v>
      </c>
      <c r="W11" s="10">
        <f>U11</f>
        <v>2</v>
      </c>
    </row>
    <row r="12" spans="1:23" ht="9" customHeight="1">
      <c r="D12" s="12" t="s">
        <v>75</v>
      </c>
      <c r="E12" s="24">
        <f>VLOOKUP(E11,武器!$Q$22:$R$23,2,FALSE)</f>
        <v>1</v>
      </c>
      <c r="F12" s="12" t="s">
        <v>37</v>
      </c>
      <c r="G12" s="12" t="s">
        <v>79</v>
      </c>
      <c r="H12" s="12" t="s">
        <v>80</v>
      </c>
      <c r="I12" s="12" t="s">
        <v>81</v>
      </c>
      <c r="J12" s="12" t="s">
        <v>85</v>
      </c>
      <c r="K12" s="12" t="s">
        <v>65</v>
      </c>
      <c r="M12" s="12" t="s">
        <v>89</v>
      </c>
      <c r="N12" s="12" t="s">
        <v>87</v>
      </c>
      <c r="P12" s="12" t="s">
        <v>50</v>
      </c>
      <c r="Q12" s="12" t="s">
        <v>87</v>
      </c>
      <c r="T12" s="12" t="s">
        <v>214</v>
      </c>
      <c r="U12" s="13">
        <v>1</v>
      </c>
      <c r="V12" s="13">
        <v>1</v>
      </c>
      <c r="W12" s="10">
        <f>U12</f>
        <v>1</v>
      </c>
    </row>
    <row r="13" spans="1:23" ht="9" customHeight="1">
      <c r="D13" s="12" t="s">
        <v>76</v>
      </c>
      <c r="E13" s="17" t="s">
        <v>334</v>
      </c>
      <c r="F13" s="10">
        <f>VLOOKUP(E13,防具!$A$79:$H$94,4,FALSE)</f>
        <v>9</v>
      </c>
      <c r="G13" s="17" t="s">
        <v>68</v>
      </c>
      <c r="H13" s="17" t="s">
        <v>68</v>
      </c>
      <c r="I13" s="17" t="s">
        <v>68</v>
      </c>
      <c r="J13" s="10">
        <f>VLOOKUP(E13,防具!$A$79:$H$94,5,FALSE)</f>
        <v>82</v>
      </c>
      <c r="K13" s="10">
        <f>ROUNDDOWN(J13*VLOOKUP(G13,武器!$Q$2:$R$7,2,FALSE),0)</f>
        <v>123</v>
      </c>
      <c r="L13" s="12" t="s">
        <v>76</v>
      </c>
      <c r="M13" s="10">
        <f>VLOOKUP(E13,防具!$A$79:$H$94,6,FALSE)</f>
        <v>5</v>
      </c>
      <c r="N13" s="10">
        <f>ROUNDDOWN(M13*VLOOKUP(H13,武器!$Q$2:$R$7,2,FALSE),0)</f>
        <v>7</v>
      </c>
      <c r="O13" s="12" t="s">
        <v>76</v>
      </c>
      <c r="P13" s="10">
        <f>VLOOKUP(E13,防具!$A$79:$H$94,7,FALSE)</f>
        <v>21</v>
      </c>
      <c r="Q13" s="10">
        <f>ROUNDUP(P13*VLOOKUP(I13,武器!$Q$2:$S$7,3,FALSE),0)</f>
        <v>11</v>
      </c>
      <c r="T13" s="12" t="s">
        <v>215</v>
      </c>
      <c r="U13" s="13"/>
      <c r="V13" s="13">
        <v>1</v>
      </c>
      <c r="W13" s="10">
        <f t="shared" ref="W13:W22" si="0">U13</f>
        <v>0</v>
      </c>
    </row>
    <row r="14" spans="1:23" ht="9" customHeight="1">
      <c r="D14" s="12" t="s">
        <v>136</v>
      </c>
      <c r="E14" s="17" t="s">
        <v>334</v>
      </c>
      <c r="F14" s="10">
        <f>VLOOKUP(E14,防具!$A$49:$H$63,4,FALSE)</f>
        <v>9</v>
      </c>
      <c r="G14" s="17" t="s">
        <v>68</v>
      </c>
      <c r="H14" s="17" t="s">
        <v>68</v>
      </c>
      <c r="I14" s="17" t="s">
        <v>68</v>
      </c>
      <c r="J14" s="10">
        <f>VLOOKUP(E14,防具!$A$49:$H$63,5,FALSE)</f>
        <v>192</v>
      </c>
      <c r="K14" s="10">
        <f>ROUNDDOWN(J14*VLOOKUP(G14,武器!$Q$2:$R$7,2,FALSE),0)</f>
        <v>288</v>
      </c>
      <c r="L14" s="12" t="s">
        <v>136</v>
      </c>
      <c r="M14" s="10">
        <f>VLOOKUP(E14,防具!$A$49:$H$63,6,FALSE)</f>
        <v>10</v>
      </c>
      <c r="N14" s="10">
        <f>ROUNDDOWN(M14*VLOOKUP(H14,武器!$Q$2:$R$7,2,FALSE),0)</f>
        <v>15</v>
      </c>
      <c r="O14" s="12" t="s">
        <v>136</v>
      </c>
      <c r="P14" s="10">
        <f>VLOOKUP(E14,防具!$A$49:$H$63,7,FALSE)</f>
        <v>146</v>
      </c>
      <c r="Q14" s="10">
        <f>ROUNDUP(P14*VLOOKUP(I14,武器!$Q$2:$S$7,3,FALSE),0)</f>
        <v>73</v>
      </c>
      <c r="T14" s="12" t="s">
        <v>216</v>
      </c>
      <c r="U14" s="13">
        <v>3</v>
      </c>
      <c r="V14" s="13">
        <v>1</v>
      </c>
      <c r="W14" s="10">
        <f t="shared" si="0"/>
        <v>3</v>
      </c>
    </row>
    <row r="15" spans="1:23" ht="9" customHeight="1">
      <c r="D15" s="12" t="s">
        <v>122</v>
      </c>
      <c r="E15" s="17" t="s">
        <v>334</v>
      </c>
      <c r="F15" s="10">
        <f>VLOOKUP(E15,防具!$A$2:$H$15,4,FALSE)</f>
        <v>9</v>
      </c>
      <c r="G15" s="17" t="s">
        <v>68</v>
      </c>
      <c r="H15" s="17" t="s">
        <v>68</v>
      </c>
      <c r="I15" s="17" t="s">
        <v>68</v>
      </c>
      <c r="J15" s="10">
        <f>VLOOKUP(E15,防具!$A$2:$H$15,5,FALSE)</f>
        <v>133</v>
      </c>
      <c r="K15" s="10">
        <f>ROUNDDOWN(J15*VLOOKUP(G15,武器!$Q$2:$R$7,2,FALSE),0)</f>
        <v>199</v>
      </c>
      <c r="L15" s="12" t="s">
        <v>122</v>
      </c>
      <c r="M15" s="10">
        <f>VLOOKUP(E15,防具!$A$2:$H$15,6,FALSE)</f>
        <v>10</v>
      </c>
      <c r="N15" s="10">
        <f>ROUNDDOWN(M15*VLOOKUP(H15,武器!$Q$2:$R$7,2,FALSE),0)</f>
        <v>15</v>
      </c>
      <c r="O15" s="12" t="s">
        <v>122</v>
      </c>
      <c r="P15" s="10">
        <f>VLOOKUP(E15,防具!$A$2:$H$15,7,FALSE)</f>
        <v>45</v>
      </c>
      <c r="Q15" s="10">
        <f>ROUNDUP(P15*VLOOKUP(I15,武器!$Q$2:$S$7,3,FALSE),0)</f>
        <v>23</v>
      </c>
      <c r="T15" s="12" t="s">
        <v>217</v>
      </c>
      <c r="U15" s="13">
        <v>5</v>
      </c>
      <c r="V15" s="13">
        <v>1</v>
      </c>
      <c r="W15" s="10">
        <f t="shared" si="0"/>
        <v>5</v>
      </c>
    </row>
    <row r="16" spans="1:23" ht="9" customHeight="1">
      <c r="B16" s="47" t="str">
        <f>VLOOKUP(E16,防具!$A$16:$I$32,9,FALSE)</f>
        <v>-</v>
      </c>
      <c r="C16" s="47"/>
      <c r="D16" s="12" t="s">
        <v>128</v>
      </c>
      <c r="E16" s="17" t="s">
        <v>334</v>
      </c>
      <c r="F16" s="10">
        <f>VLOOKUP(E16,防具!$A$16:$I$32,4,FALSE)</f>
        <v>9</v>
      </c>
      <c r="G16" s="17" t="s">
        <v>68</v>
      </c>
      <c r="H16" s="17" t="s">
        <v>68</v>
      </c>
      <c r="I16" s="17" t="s">
        <v>68</v>
      </c>
      <c r="J16" s="10">
        <f>VLOOKUP(E16,防具!$A$16:$I$32,5,FALSE)</f>
        <v>141</v>
      </c>
      <c r="K16" s="10">
        <f>ROUNDDOWN(J16*VLOOKUP(G16,武器!$Q$2:$R$7,2,FALSE),0)</f>
        <v>211</v>
      </c>
      <c r="L16" s="12" t="s">
        <v>128</v>
      </c>
      <c r="M16" s="10">
        <f>VLOOKUP(E16,防具!$A$16:$I$32,6,FALSE)</f>
        <v>10</v>
      </c>
      <c r="N16" s="10">
        <f>ROUNDDOWN(M16*VLOOKUP(H16,武器!$Q$2:$R$7,2,FALSE),0)</f>
        <v>15</v>
      </c>
      <c r="O16" s="12" t="s">
        <v>128</v>
      </c>
      <c r="P16" s="10">
        <f>VLOOKUP(E16,防具!$A$16:$I$32,7,FALSE)</f>
        <v>63</v>
      </c>
      <c r="Q16" s="10">
        <f>ROUNDUP(P16*VLOOKUP(I16,武器!$Q$2:$S$7,3,FALSE),0)</f>
        <v>32</v>
      </c>
      <c r="T16" s="12" t="s">
        <v>218</v>
      </c>
      <c r="U16" s="13"/>
      <c r="V16" s="13">
        <v>1</v>
      </c>
      <c r="W16" s="10">
        <f t="shared" si="0"/>
        <v>0</v>
      </c>
    </row>
    <row r="17" spans="2:23" ht="9" customHeight="1">
      <c r="D17" s="12" t="s">
        <v>77</v>
      </c>
      <c r="E17" s="17" t="s">
        <v>157</v>
      </c>
      <c r="F17" s="10" t="str">
        <f>VLOOKUP(E17,防具!$A$33:$H$37,4,FALSE)</f>
        <v>-</v>
      </c>
      <c r="G17" s="17" t="s">
        <v>68</v>
      </c>
      <c r="H17" s="17" t="s">
        <v>68</v>
      </c>
      <c r="I17" s="17" t="s">
        <v>82</v>
      </c>
      <c r="J17" s="10">
        <f>VLOOKUP(E17,防具!$A$33:$H$37,5,FALSE)</f>
        <v>0</v>
      </c>
      <c r="K17" s="10">
        <f>ROUNDDOWN(J17*VLOOKUP(G17,武器!$Q$2:$R$7,2,FALSE),0)</f>
        <v>0</v>
      </c>
      <c r="L17" s="12" t="s">
        <v>77</v>
      </c>
      <c r="M17" s="10">
        <f>VLOOKUP(E17,防具!$A$33:$H$37,6,FALSE)</f>
        <v>0</v>
      </c>
      <c r="N17" s="10">
        <f>ROUNDDOWN(M17*VLOOKUP(H17,武器!$Q$2:$R$7,2,FALSE),0)</f>
        <v>0</v>
      </c>
      <c r="O17" s="12" t="s">
        <v>77</v>
      </c>
      <c r="P17" s="10">
        <f>VLOOKUP(E17,防具!$A$33:$H$37,7,FALSE)</f>
        <v>0</v>
      </c>
      <c r="Q17" s="10">
        <f>ROUNDUP(P17*VLOOKUP(I17,武器!$Q$2:$S$7,3,FALSE),0)</f>
        <v>0</v>
      </c>
      <c r="R17" s="12" t="s">
        <v>103</v>
      </c>
      <c r="U17" s="14"/>
      <c r="V17" s="14"/>
    </row>
    <row r="18" spans="2:23" ht="9" customHeight="1">
      <c r="D18" s="12" t="s">
        <v>78</v>
      </c>
      <c r="E18" s="17" t="s">
        <v>334</v>
      </c>
      <c r="F18" s="10">
        <f>VLOOKUP(E18,防具!$A$64:$H$78,4,FALSE)</f>
        <v>9</v>
      </c>
      <c r="G18" s="17" t="s">
        <v>68</v>
      </c>
      <c r="H18" s="17" t="s">
        <v>68</v>
      </c>
      <c r="I18" s="17" t="s">
        <v>68</v>
      </c>
      <c r="J18" s="10">
        <f>VLOOKUP(E18,防具!$A$64:$H$78,5,FALSE)</f>
        <v>73</v>
      </c>
      <c r="K18" s="10">
        <f>ROUNDDOWN(J18*VLOOKUP(G18,武器!$Q$2:$R$7,2,FALSE),0)</f>
        <v>109</v>
      </c>
      <c r="L18" s="12" t="s">
        <v>78</v>
      </c>
      <c r="M18" s="10">
        <f>VLOOKUP(E18,防具!$A$64:$H$78,6,FALSE)</f>
        <v>10</v>
      </c>
      <c r="N18" s="10">
        <f>ROUNDDOWN(M18*VLOOKUP(H18,武器!$Q$2:$R$7,2,FALSE),0)</f>
        <v>15</v>
      </c>
      <c r="O18" s="12" t="s">
        <v>78</v>
      </c>
      <c r="P18" s="10">
        <f>VLOOKUP(E18,防具!$A$64:$H$78,7,FALSE)</f>
        <v>36</v>
      </c>
      <c r="Q18" s="10">
        <f>ROUNDUP(P18*VLOOKUP(I18,武器!$Q$2:$S$7,3,FALSE),0)</f>
        <v>18</v>
      </c>
      <c r="R18" s="10">
        <f>VLOOKUP(E18,防具!$A$64:$H$78,8,FALSE)</f>
        <v>40</v>
      </c>
      <c r="S18" s="16" t="s">
        <v>219</v>
      </c>
      <c r="T18" s="13"/>
      <c r="U18" s="13"/>
      <c r="V18" s="13"/>
      <c r="W18" s="10">
        <f t="shared" si="0"/>
        <v>0</v>
      </c>
    </row>
    <row r="19" spans="2:23" ht="9" customHeight="1">
      <c r="B19" s="47" t="str">
        <f>VLOOKUP(E19,防具!$A$38:$I$47,9,FALSE)</f>
        <v>-</v>
      </c>
      <c r="C19" s="47"/>
      <c r="D19" s="12" t="s">
        <v>135</v>
      </c>
      <c r="E19" s="17" t="s">
        <v>157</v>
      </c>
      <c r="F19" s="10" t="str">
        <f>VLOOKUP(E19,防具!$A$38:$I$47,4,FALSE)</f>
        <v>-</v>
      </c>
      <c r="G19" s="17" t="s">
        <v>82</v>
      </c>
      <c r="H19" s="17" t="s">
        <v>82</v>
      </c>
      <c r="I19" s="17" t="s">
        <v>82</v>
      </c>
      <c r="J19" s="10">
        <f>VLOOKUP(E19,防具!$A$38:$I$47,5,FALSE)</f>
        <v>0</v>
      </c>
      <c r="K19" s="10">
        <f>ROUNDDOWN(J19*VLOOKUP(G19,武器!$Q$2:$R$7,2,FALSE),0)</f>
        <v>0</v>
      </c>
      <c r="L19" s="12" t="s">
        <v>135</v>
      </c>
      <c r="M19" s="10">
        <f>VLOOKUP(E19,防具!$A$38:$I$47,6,FALSE)</f>
        <v>0</v>
      </c>
      <c r="N19" s="10">
        <f>ROUNDDOWN(M19*VLOOKUP(H19,武器!$Q$2:$R$7,2,FALSE),0)</f>
        <v>0</v>
      </c>
      <c r="O19" s="12" t="s">
        <v>135</v>
      </c>
      <c r="P19" s="10">
        <f>VLOOKUP(E19,防具!$A$38:$I$47,7,FALSE)</f>
        <v>0</v>
      </c>
      <c r="Q19" s="10">
        <f>ROUNDUP(P19*VLOOKUP(I19,武器!$Q$2:$S$7,3,FALSE),0)</f>
        <v>0</v>
      </c>
      <c r="R19" s="10">
        <f>VLOOKUP(E19,防具!$A$38:$I$47,8,FALSE)</f>
        <v>0</v>
      </c>
      <c r="T19" s="13"/>
      <c r="U19" s="13"/>
      <c r="V19" s="13"/>
      <c r="W19" s="10">
        <f t="shared" si="0"/>
        <v>0</v>
      </c>
    </row>
    <row r="20" spans="2:23" ht="9" customHeight="1">
      <c r="J20" s="12" t="s">
        <v>86</v>
      </c>
      <c r="K20" s="10">
        <f>SUM(K13,K14,K15,K16,K17,K18,K19)</f>
        <v>930</v>
      </c>
      <c r="M20" s="12" t="s">
        <v>88</v>
      </c>
      <c r="N20" s="10">
        <f>SUM(N13,N14,N15,N16,N17,N18,N19)</f>
        <v>67</v>
      </c>
      <c r="P20" s="12" t="s">
        <v>88</v>
      </c>
      <c r="Q20" s="10">
        <f>SUM(Q13,Q14,Q15,Q16,Q17,Q18,Q19)</f>
        <v>157</v>
      </c>
      <c r="R20" s="10">
        <f>R18+R19</f>
        <v>40</v>
      </c>
      <c r="T20" s="13"/>
      <c r="U20" s="13"/>
      <c r="V20" s="13"/>
      <c r="W20" s="10">
        <f t="shared" si="0"/>
        <v>0</v>
      </c>
    </row>
    <row r="21" spans="2:23" ht="9" customHeight="1">
      <c r="B21" s="24" t="s">
        <v>315</v>
      </c>
      <c r="D21" s="30" t="str">
        <f>IF((H33-1)*(H33-3)=0,B22,B21)</f>
        <v>－</v>
      </c>
      <c r="E21" s="12" t="s">
        <v>90</v>
      </c>
      <c r="F21" s="12" t="s">
        <v>92</v>
      </c>
      <c r="G21" s="12" t="s">
        <v>50</v>
      </c>
      <c r="T21" s="13"/>
      <c r="U21" s="13"/>
      <c r="V21" s="13"/>
      <c r="W21" s="10">
        <f t="shared" si="0"/>
        <v>0</v>
      </c>
    </row>
    <row r="22" spans="2:23" ht="9" customHeight="1">
      <c r="B22" s="24" t="s">
        <v>316</v>
      </c>
      <c r="C22" s="12" t="s">
        <v>91</v>
      </c>
      <c r="D22" s="17" t="s">
        <v>157</v>
      </c>
      <c r="E22" s="10">
        <f>VLOOKUP(D22,防具!$Y$2:$AB$6,2,FALSE)</f>
        <v>0</v>
      </c>
      <c r="F22" s="10">
        <f>VLOOKUP(D22,防具!$Y$2:$AB$6,3,FALSE)</f>
        <v>0</v>
      </c>
      <c r="G22" s="10">
        <f>VLOOKUP(D22,防具!$Y$2:$AB$6,4,FALSE)</f>
        <v>0</v>
      </c>
      <c r="P22" s="40" t="s">
        <v>166</v>
      </c>
      <c r="Q22" s="40"/>
      <c r="R22" s="10">
        <f>ROUNDDOWN(((R20+100)*(1+B9/200))*H25*P26,0)</f>
        <v>168</v>
      </c>
      <c r="T22" s="13"/>
      <c r="U22" s="13"/>
      <c r="V22" s="13"/>
      <c r="W22" s="10">
        <f t="shared" si="0"/>
        <v>0</v>
      </c>
    </row>
    <row r="23" spans="2:23" ht="9" customHeight="1">
      <c r="T23" s="14"/>
      <c r="U23" s="14"/>
      <c r="V23" s="14"/>
    </row>
    <row r="24" spans="2:23" ht="9" customHeight="1">
      <c r="F24" s="12" t="s">
        <v>249</v>
      </c>
      <c r="G24" s="12" t="s">
        <v>92</v>
      </c>
      <c r="H24" s="12" t="s">
        <v>250</v>
      </c>
      <c r="I24" s="12" t="s">
        <v>50</v>
      </c>
      <c r="J24" s="12" t="s">
        <v>240</v>
      </c>
      <c r="K24" s="12" t="s">
        <v>108</v>
      </c>
      <c r="L24" s="12" t="s">
        <v>204</v>
      </c>
      <c r="N24" s="24" t="s">
        <v>261</v>
      </c>
      <c r="O24" s="24"/>
      <c r="P24" s="24"/>
      <c r="Q24" s="24"/>
      <c r="R24" s="24"/>
      <c r="S24" s="12" t="s">
        <v>102</v>
      </c>
      <c r="T24" s="13" t="s">
        <v>237</v>
      </c>
      <c r="U24" s="13">
        <v>110</v>
      </c>
      <c r="V24" s="13">
        <v>2</v>
      </c>
      <c r="W24" s="10">
        <f>U24*V24</f>
        <v>220</v>
      </c>
    </row>
    <row r="25" spans="2:23" ht="9" customHeight="1">
      <c r="C25" s="12" t="s">
        <v>98</v>
      </c>
      <c r="D25" s="45" t="s">
        <v>266</v>
      </c>
      <c r="E25" s="45"/>
      <c r="F25" s="10">
        <f>VLOOKUP(D25,防具!$M$2:$W$31,5,FALSE)</f>
        <v>1.1499999999999999</v>
      </c>
      <c r="G25" s="10">
        <f>VLOOKUP(D25,防具!$M$2:$W$31,6,FALSE)</f>
        <v>5</v>
      </c>
      <c r="H25" s="10">
        <f>VLOOKUP(D25,防具!$M$2:$W$31,7,FALSE)</f>
        <v>1</v>
      </c>
      <c r="I25" s="10">
        <f>VLOOKUP(D25,防具!$M$2:$W$31,8,FALSE)</f>
        <v>80</v>
      </c>
      <c r="J25" s="10">
        <f>VLOOKUP(D25,防具!$M$2:$W$31,9,FALSE)</f>
        <v>0</v>
      </c>
      <c r="K25" s="10">
        <f>VLOOKUP(D25,防具!$M$2:$W$31,10,FALSE)</f>
        <v>1</v>
      </c>
      <c r="L25" s="10">
        <f>VLOOKUP(D25,防具!$M$2:$W$31,11,FALSE)</f>
        <v>0</v>
      </c>
      <c r="N25" s="26" t="s">
        <v>108</v>
      </c>
      <c r="O25" s="26"/>
      <c r="P25" s="26">
        <f>IF(R19=0,1,1.3)</f>
        <v>1</v>
      </c>
      <c r="Q25" s="26" t="s">
        <v>4</v>
      </c>
      <c r="R25" s="26">
        <f>IF(R19=0,1,0.7)</f>
        <v>1</v>
      </c>
      <c r="T25" s="13"/>
      <c r="U25" s="13"/>
      <c r="V25" s="13"/>
      <c r="W25" s="10">
        <f>U25*V25</f>
        <v>0</v>
      </c>
    </row>
    <row r="26" spans="2:23" ht="9" customHeight="1">
      <c r="C26" s="12" t="s">
        <v>99</v>
      </c>
      <c r="D26" s="45" t="s">
        <v>328</v>
      </c>
      <c r="E26" s="45"/>
      <c r="F26" s="10">
        <f>VLOOKUP(D26,防具!$M$32:$W$38,5,FALSE)</f>
        <v>1.1000000000000001</v>
      </c>
      <c r="G26" s="10">
        <f>VLOOKUP(D26,防具!$M$32:$W$38,6,FALSE)</f>
        <v>0</v>
      </c>
      <c r="H26" s="10">
        <f>VLOOKUP(D26,防具!$M$32:$W$38,7,FALSE)</f>
        <v>1</v>
      </c>
      <c r="I26" s="10">
        <f>VLOOKUP(D26,防具!$M$32:$W$38,8,FALSE)</f>
        <v>150</v>
      </c>
      <c r="J26" s="10">
        <f>VLOOKUP(D26,防具!$M$32:$W$38,9,FALSE)</f>
        <v>0</v>
      </c>
      <c r="K26" s="10">
        <f>VLOOKUP(D26,防具!$M$32:$W$38,10,FALSE)</f>
        <v>1</v>
      </c>
      <c r="L26" s="10">
        <f>VLOOKUP(D26,防具!$M$32:$W$38,11,FALSE)</f>
        <v>0</v>
      </c>
      <c r="N26" s="26" t="s">
        <v>262</v>
      </c>
      <c r="O26" s="26"/>
      <c r="P26" s="26">
        <f>IF(R19=0,1,1.2)</f>
        <v>1</v>
      </c>
      <c r="Q26" s="26" t="s">
        <v>96</v>
      </c>
      <c r="R26" s="26">
        <f>IF(R19=0,1,0.8)</f>
        <v>1</v>
      </c>
      <c r="T26" s="13"/>
      <c r="U26" s="13"/>
      <c r="V26" s="13"/>
      <c r="W26" s="10">
        <f>U26*V26</f>
        <v>0</v>
      </c>
    </row>
    <row r="27" spans="2:23" ht="9" customHeight="1">
      <c r="C27" s="24">
        <f>VLOOKUP(E27,テクニック!A2:I14,9,FALSE)</f>
        <v>40</v>
      </c>
      <c r="D27" s="12" t="s">
        <v>115</v>
      </c>
      <c r="E27" s="17" t="s">
        <v>220</v>
      </c>
      <c r="F27" s="24"/>
      <c r="G27" s="24"/>
      <c r="H27" s="24"/>
      <c r="I27" s="24">
        <f>VLOOKUP(E27,テクニック!A2:H3,5,FALSE)</f>
        <v>1.1000000000000001</v>
      </c>
      <c r="N27" s="26" t="s">
        <v>263</v>
      </c>
      <c r="O27" s="26"/>
      <c r="P27" s="26">
        <f>IF(R19=0,150,170)</f>
        <v>150</v>
      </c>
      <c r="Q27" s="26"/>
      <c r="R27" s="26"/>
    </row>
    <row r="28" spans="2:23" ht="9" customHeight="1">
      <c r="C28" s="24">
        <f>VLOOKUP(E28,テクニック!A2:I14,9,FALSE)</f>
        <v>45</v>
      </c>
      <c r="D28" s="12" t="s">
        <v>112</v>
      </c>
      <c r="E28" s="17" t="s">
        <v>223</v>
      </c>
      <c r="F28" s="24"/>
      <c r="G28" s="24">
        <f>VLOOKUP(E28,テクニック!A4:H7,3,FALSE)</f>
        <v>10</v>
      </c>
      <c r="H28" s="24"/>
      <c r="I28" s="24">
        <f>VLOOKUP(E28,テクニック!A4:H7,6,FALSE)</f>
        <v>1</v>
      </c>
      <c r="J28" s="24">
        <f>VLOOKUP(E28,テクニック!A4:H7,7,FALSE)</f>
        <v>1</v>
      </c>
      <c r="K28" s="24">
        <f>VLOOKUP(E28,テクニック!A4:H7,8,FALSE)</f>
        <v>2</v>
      </c>
      <c r="N28" s="26" t="s">
        <v>93</v>
      </c>
      <c r="O28" s="26"/>
      <c r="P28" s="26">
        <f>IF(R19=0,1,0.8)</f>
        <v>1</v>
      </c>
      <c r="Q28" s="26"/>
      <c r="R28" s="26"/>
      <c r="T28" s="12" t="s">
        <v>24</v>
      </c>
      <c r="U28" s="10">
        <f>U26+U25+U24+U22+U21+U20+U19+U18+U16+U15+U14+U13+U12+U11+U10+U9+U7+U6</f>
        <v>132</v>
      </c>
      <c r="W28" s="10">
        <f>W26+W25+W24+W22+W21+W20+W19+W18+W16+W15+W14+W13+W12+W11+W10+W9+W7+W6</f>
        <v>792</v>
      </c>
    </row>
    <row r="29" spans="2:23" ht="9" customHeight="1">
      <c r="C29" s="24">
        <f>VLOOKUP(E29,テクニック!A2:I14,9,FALSE)</f>
        <v>40</v>
      </c>
      <c r="D29" s="12" t="s">
        <v>113</v>
      </c>
      <c r="E29" s="17" t="s">
        <v>257</v>
      </c>
      <c r="F29" s="24">
        <f>VLOOKUP(E29,テクニック!A8:H14,2,FALSE)</f>
        <v>1</v>
      </c>
      <c r="G29" s="24">
        <f>VLOOKUP(E29,テクニック!A8:H14,3,FALSE)</f>
        <v>35</v>
      </c>
      <c r="H29" s="24"/>
      <c r="I29" s="24">
        <f>IF(F29=H33,VLOOKUP(E29,テクニック!A8:H14,4,FALSE),1)</f>
        <v>1</v>
      </c>
      <c r="J29" s="24">
        <f>IF(F29=H33,VLOOKUP(E29,テクニック!A8:H14,5,FALSE),1)</f>
        <v>1.5</v>
      </c>
      <c r="K29" s="24"/>
      <c r="N29" s="24"/>
      <c r="O29" s="24"/>
      <c r="P29" s="24"/>
      <c r="Q29" s="24"/>
      <c r="R29" s="24"/>
      <c r="T29" s="12" t="s">
        <v>238</v>
      </c>
      <c r="U29" s="10">
        <f>Q7</f>
        <v>137</v>
      </c>
      <c r="W29" s="10">
        <f>Q9</f>
        <v>1180</v>
      </c>
    </row>
    <row r="30" spans="2:23" ht="9" customHeight="1">
      <c r="C30" s="24">
        <f>MAX(C27:C29)</f>
        <v>45</v>
      </c>
      <c r="D30" s="24" t="s">
        <v>230</v>
      </c>
      <c r="F30" s="41">
        <f>VLOOKUP(E5,武器!Q13:R15,2,FALSE)</f>
        <v>0</v>
      </c>
      <c r="G30" s="41"/>
      <c r="H30" s="24"/>
      <c r="I30" s="24"/>
      <c r="J30" s="40" t="s">
        <v>114</v>
      </c>
      <c r="K30" s="40"/>
      <c r="L30" s="10">
        <f>O3</f>
        <v>0.09</v>
      </c>
      <c r="T30" s="12" t="s">
        <v>110</v>
      </c>
      <c r="U30" s="10">
        <f>IF(V30&gt;P27,P27,V30)</f>
        <v>150</v>
      </c>
      <c r="V30" s="24">
        <f>ROUNDDOWN(R22*Q8/(W28-I25-I26),0)</f>
        <v>253</v>
      </c>
    </row>
    <row r="31" spans="2:23" ht="9" customHeight="1">
      <c r="D31" s="12" t="s">
        <v>117</v>
      </c>
      <c r="E31" s="17" t="s">
        <v>61</v>
      </c>
      <c r="F31" s="41">
        <f>VLOOKUP(E31,武器!Q13:R15,2,FALSE)</f>
        <v>0.25</v>
      </c>
      <c r="G31" s="41"/>
      <c r="H31" s="24"/>
      <c r="I31" s="24"/>
      <c r="J31" s="40" t="s">
        <v>7</v>
      </c>
      <c r="K31" s="40"/>
      <c r="L31" s="10">
        <f>(B7/100+2)*I29*(E33*2+1-E33)</f>
        <v>3.24</v>
      </c>
    </row>
    <row r="32" spans="2:23" ht="9" customHeight="1">
      <c r="D32" s="24" t="s">
        <v>10</v>
      </c>
      <c r="F32" s="41">
        <f>1+F30-F31</f>
        <v>0.75</v>
      </c>
      <c r="G32" s="41"/>
      <c r="H32" s="24" t="s">
        <v>234</v>
      </c>
      <c r="I32" s="24"/>
    </row>
    <row r="33" spans="3:19" ht="9" customHeight="1">
      <c r="D33" s="12" t="s">
        <v>111</v>
      </c>
      <c r="E33" s="13">
        <v>0.2</v>
      </c>
      <c r="F33" s="24"/>
      <c r="G33" s="24"/>
      <c r="H33" s="24">
        <f>VLOOKUP(D3,武器!A2:N29,13,FALSE)</f>
        <v>1</v>
      </c>
      <c r="I33" s="24"/>
      <c r="J33" s="40" t="s">
        <v>116</v>
      </c>
      <c r="K33" s="40"/>
      <c r="L33" s="43">
        <f>(L3*(L30*L31+(1-L30)*1)*I27*J29*F32*G34-E36)*F38</f>
        <v>70445.677500000005</v>
      </c>
      <c r="M33" s="44"/>
    </row>
    <row r="34" spans="3:19" ht="9" customHeight="1">
      <c r="D34" s="12" t="s">
        <v>233</v>
      </c>
      <c r="E34" s="17" t="s">
        <v>252</v>
      </c>
      <c r="F34" s="24">
        <f>VLOOKUP(E34,武器!$Q$22:$R$23,2,FALSE)</f>
        <v>1</v>
      </c>
      <c r="G34" s="24">
        <f>IF(F34=1,E35*1.5+1-E35,1)</f>
        <v>1.25</v>
      </c>
      <c r="H34" s="24"/>
      <c r="I34" s="24"/>
      <c r="J34" s="40" t="s">
        <v>118</v>
      </c>
      <c r="K34" s="40"/>
      <c r="L34" s="13">
        <v>162</v>
      </c>
      <c r="M34" s="40" t="s">
        <v>212</v>
      </c>
      <c r="N34" s="40"/>
      <c r="O34" s="40"/>
      <c r="P34" s="40"/>
    </row>
    <row r="35" spans="3:19" ht="9" customHeight="1">
      <c r="D35" s="12" t="s">
        <v>47</v>
      </c>
      <c r="E35" s="13">
        <v>0.5</v>
      </c>
      <c r="F35" s="24"/>
      <c r="G35" s="24"/>
      <c r="H35" s="24"/>
      <c r="I35" s="24"/>
      <c r="J35" s="40" t="s">
        <v>353</v>
      </c>
      <c r="K35" s="40"/>
      <c r="L35" s="23">
        <f>L33*L34</f>
        <v>11412199.755000001</v>
      </c>
      <c r="M35" s="40" t="s">
        <v>352</v>
      </c>
      <c r="N35" s="40"/>
      <c r="O35" s="40"/>
      <c r="P35" s="40"/>
    </row>
    <row r="36" spans="3:19" ht="9" customHeight="1">
      <c r="D36" s="12" t="s">
        <v>228</v>
      </c>
      <c r="E36" s="13">
        <v>0</v>
      </c>
      <c r="F36" s="24"/>
      <c r="G36" s="24"/>
      <c r="H36" s="24"/>
      <c r="I36" s="24"/>
      <c r="J36" s="40" t="s">
        <v>119</v>
      </c>
      <c r="K36" s="40"/>
      <c r="L36" s="10">
        <f>(G28+G29)*60</f>
        <v>2700</v>
      </c>
    </row>
    <row r="37" spans="3:19" ht="9" customHeight="1">
      <c r="D37" s="12" t="s">
        <v>235</v>
      </c>
      <c r="E37" s="13">
        <v>80000</v>
      </c>
      <c r="F37" s="41">
        <f>E37*12</f>
        <v>960000</v>
      </c>
      <c r="G37" s="41"/>
      <c r="H37" s="24"/>
      <c r="I37" s="24"/>
      <c r="J37" s="42" t="s">
        <v>120</v>
      </c>
      <c r="K37" s="42"/>
      <c r="L37" s="19">
        <f>IF(M37&gt;F37,F37,M37)</f>
        <v>11525.199755</v>
      </c>
      <c r="M37" s="24">
        <f>L33/1000*L34+ROUNDDOWN(E9/10,0)</f>
        <v>11525.199755</v>
      </c>
    </row>
    <row r="38" spans="3:19" ht="9" customHeight="1">
      <c r="D38" s="22" t="s">
        <v>351</v>
      </c>
      <c r="E38" s="13">
        <v>1</v>
      </c>
      <c r="F38" s="25">
        <f>IF(H33&gt;3,E38,1)</f>
        <v>1</v>
      </c>
      <c r="J38" s="40" t="s">
        <v>121</v>
      </c>
      <c r="K38" s="40"/>
      <c r="L38" s="40"/>
      <c r="M38" s="40"/>
      <c r="N38" s="40"/>
      <c r="O38" s="40"/>
      <c r="P38" s="40"/>
    </row>
    <row r="39" spans="3:19" ht="9" customHeight="1">
      <c r="C39" s="40" t="s">
        <v>354</v>
      </c>
      <c r="D39" s="40"/>
      <c r="E39" s="40"/>
      <c r="F39" s="40"/>
    </row>
    <row r="40" spans="3:19" ht="9" customHeight="1">
      <c r="D40" s="39" t="s">
        <v>246</v>
      </c>
      <c r="E40" s="39"/>
      <c r="F40" s="39"/>
      <c r="G40" s="39"/>
      <c r="H40" s="39"/>
      <c r="I40" s="39"/>
      <c r="J40" s="39"/>
      <c r="K40" s="39"/>
      <c r="L40" s="39"/>
      <c r="M40" s="39"/>
      <c r="N40" s="39"/>
      <c r="O40" s="39"/>
      <c r="P40" s="39"/>
      <c r="Q40" s="39"/>
      <c r="R40" s="39"/>
      <c r="S40" s="39"/>
    </row>
    <row r="41" spans="3:19" ht="9" customHeight="1">
      <c r="D41" s="39"/>
      <c r="E41" s="39"/>
      <c r="F41" s="39"/>
      <c r="G41" s="39"/>
      <c r="H41" s="39"/>
      <c r="I41" s="39"/>
      <c r="J41" s="39"/>
      <c r="K41" s="39"/>
      <c r="L41" s="39"/>
      <c r="M41" s="39"/>
      <c r="N41" s="39"/>
      <c r="O41" s="39"/>
      <c r="P41" s="39"/>
      <c r="Q41" s="39"/>
      <c r="R41" s="39"/>
      <c r="S41" s="39"/>
    </row>
    <row r="42" spans="3:19" ht="9" customHeight="1">
      <c r="D42" s="39"/>
      <c r="E42" s="39"/>
      <c r="F42" s="39"/>
      <c r="G42" s="39"/>
      <c r="H42" s="39"/>
      <c r="I42" s="39"/>
      <c r="J42" s="39"/>
      <c r="K42" s="39"/>
      <c r="L42" s="39"/>
      <c r="M42" s="39"/>
      <c r="N42" s="39"/>
      <c r="O42" s="39"/>
      <c r="P42" s="39"/>
      <c r="Q42" s="39"/>
      <c r="R42" s="39"/>
      <c r="S42" s="39"/>
    </row>
  </sheetData>
  <sheetProtection sheet="1" objects="1" scenarios="1" selectLockedCells="1"/>
  <mergeCells count="29">
    <mergeCell ref="D26:E26"/>
    <mergeCell ref="B16:C16"/>
    <mergeCell ref="B19:C19"/>
    <mergeCell ref="G9:I9"/>
    <mergeCell ref="O9:P9"/>
    <mergeCell ref="J30:K30"/>
    <mergeCell ref="J31:K31"/>
    <mergeCell ref="J33:K33"/>
    <mergeCell ref="Q1:S1"/>
    <mergeCell ref="G7:I7"/>
    <mergeCell ref="O7:P7"/>
    <mergeCell ref="G8:I8"/>
    <mergeCell ref="O8:P8"/>
    <mergeCell ref="D40:S42"/>
    <mergeCell ref="P22:Q22"/>
    <mergeCell ref="F30:G30"/>
    <mergeCell ref="F31:G31"/>
    <mergeCell ref="F32:G32"/>
    <mergeCell ref="F37:G37"/>
    <mergeCell ref="J34:K34"/>
    <mergeCell ref="M34:P34"/>
    <mergeCell ref="J36:K36"/>
    <mergeCell ref="J37:K37"/>
    <mergeCell ref="J38:P38"/>
    <mergeCell ref="L33:M33"/>
    <mergeCell ref="M35:P35"/>
    <mergeCell ref="J35:K35"/>
    <mergeCell ref="C39:F39"/>
    <mergeCell ref="D25:E25"/>
  </mergeCells>
  <phoneticPr fontId="1"/>
  <dataValidations count="19">
    <dataValidation type="list" allowBlank="1" showInputMessage="1" showErrorMessage="1" sqref="E15">
      <formula1>防具!$J$2:$J$15</formula1>
    </dataValidation>
    <dataValidation type="list" allowBlank="1" showInputMessage="1" showErrorMessage="1" sqref="E16">
      <formula1>防具!$J$16:$J$32</formula1>
    </dataValidation>
    <dataValidation type="list" allowBlank="1" showInputMessage="1" showErrorMessage="1" sqref="E17">
      <formula1>防具!$J$33:$J$37</formula1>
    </dataValidation>
    <dataValidation type="list" allowBlank="1" showInputMessage="1" showErrorMessage="1" sqref="E19">
      <formula1>防具!$J$38:$J$47</formula1>
    </dataValidation>
    <dataValidation type="list" allowBlank="1" showInputMessage="1" showErrorMessage="1" sqref="E14">
      <formula1>防具!$J$49:$J$63</formula1>
    </dataValidation>
    <dataValidation type="list" allowBlank="1" showInputMessage="1" showErrorMessage="1" sqref="E18">
      <formula1>防具!$J$64:$J$78</formula1>
    </dataValidation>
    <dataValidation type="list" allowBlank="1" showInputMessage="1" showErrorMessage="1" sqref="E13">
      <formula1>防具!$J$79:$J$93</formula1>
    </dataValidation>
    <dataValidation type="list" allowBlank="1" showInputMessage="1" showErrorMessage="1" sqref="E11 E34">
      <formula1>武器!$Q$22:$Q$23</formula1>
    </dataValidation>
    <dataValidation type="list" allowBlank="1" showInputMessage="1" showErrorMessage="1" sqref="D25">
      <formula1>防具!$N$2:$N$31</formula1>
    </dataValidation>
    <dataValidation type="list" allowBlank="1" showInputMessage="1" showErrorMessage="1" sqref="D26">
      <formula1>防具!$N$32:$N$38</formula1>
    </dataValidation>
    <dataValidation type="list" allowBlank="1" showInputMessage="1" showErrorMessage="1" sqref="D22">
      <formula1>防具!$Y$2:$Y$6</formula1>
    </dataValidation>
    <dataValidation type="list" allowBlank="1" showInputMessage="1" showErrorMessage="1" sqref="G13:I19 G3:I3">
      <formula1>武器!$Q$2:$Q$7</formula1>
    </dataValidation>
    <dataValidation type="list" allowBlank="1" showInputMessage="1" showErrorMessage="1" sqref="D3">
      <formula1>武器!$A$2:$A$29</formula1>
    </dataValidation>
    <dataValidation type="list" allowBlank="1" showInputMessage="1" showErrorMessage="1" sqref="B2">
      <formula1>ポイント!$A$2:$A$43</formula1>
    </dataValidation>
    <dataValidation type="list" allowBlank="1" showInputMessage="1" showErrorMessage="1" sqref="B1">
      <formula1>武器!$Q$10:$Q$11</formula1>
    </dataValidation>
    <dataValidation type="list" allowBlank="1" showInputMessage="1" showErrorMessage="1" sqref="E27">
      <formula1>テクニック!$A$2:$A$3</formula1>
    </dataValidation>
    <dataValidation type="list" allowBlank="1" showInputMessage="1" showErrorMessage="1" sqref="E28">
      <formula1>テクニック!$A$4:$A$7</formula1>
    </dataValidation>
    <dataValidation type="list" allowBlank="1" showInputMessage="1" showErrorMessage="1" sqref="E29">
      <formula1>テクニック!$A$8:$A$14</formula1>
    </dataValidation>
    <dataValidation type="list" allowBlank="1" showInputMessage="1" showErrorMessage="1" sqref="E31">
      <formula1>武器!$Q$13:$Q$15</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W53"/>
  <sheetViews>
    <sheetView showRowColHeaders="0" tabSelected="1" workbookViewId="0">
      <selection activeCell="B2" sqref="B2"/>
    </sheetView>
  </sheetViews>
  <sheetFormatPr defaultRowHeight="9" customHeight="1"/>
  <cols>
    <col min="1" max="1" width="7.5" style="18" customWidth="1"/>
    <col min="2" max="2" width="3.625" style="18" customWidth="1"/>
    <col min="3" max="3" width="8.25" style="18" customWidth="1"/>
    <col min="4" max="4" width="10" style="18" customWidth="1"/>
    <col min="5" max="5" width="8.375" style="18" customWidth="1"/>
    <col min="6" max="6" width="3.625" style="18" customWidth="1"/>
    <col min="7" max="7" width="3.25" style="18" customWidth="1"/>
    <col min="8" max="9" width="3" style="18" customWidth="1"/>
    <col min="10" max="10" width="5" style="18" customWidth="1"/>
    <col min="11" max="11" width="5.625" style="18" customWidth="1"/>
    <col min="12" max="12" width="7.25" style="18" customWidth="1"/>
    <col min="13" max="13" width="5" style="18" customWidth="1"/>
    <col min="14" max="14" width="4.375" style="18" customWidth="1"/>
    <col min="15" max="15" width="6.875" style="18" customWidth="1"/>
    <col min="16" max="16" width="5.625" style="18" customWidth="1"/>
    <col min="17" max="17" width="4.875" style="18" customWidth="1"/>
    <col min="18" max="18" width="6.125" style="18" customWidth="1"/>
    <col min="19" max="19" width="8.75" style="18" customWidth="1"/>
    <col min="20" max="20" width="12.125" style="18" customWidth="1"/>
    <col min="21" max="21" width="3.125" style="18" customWidth="1"/>
    <col min="22" max="22" width="9.75" style="18" customWidth="1"/>
    <col min="23" max="16384" width="9" style="18"/>
  </cols>
  <sheetData>
    <row r="1" spans="1:23" ht="9" customHeight="1">
      <c r="A1" s="33" t="s">
        <v>125</v>
      </c>
      <c r="B1" s="31" t="s">
        <v>142</v>
      </c>
      <c r="C1" s="36">
        <f>VLOOKUP(B1,武器!Q10:R11,2,FALSE)</f>
        <v>1</v>
      </c>
      <c r="Q1" s="46" t="s">
        <v>361</v>
      </c>
      <c r="R1" s="46"/>
      <c r="S1" s="46"/>
    </row>
    <row r="2" spans="1:23" ht="9" customHeight="1">
      <c r="A2" s="33" t="s">
        <v>362</v>
      </c>
      <c r="B2" s="31">
        <v>101</v>
      </c>
      <c r="D2" s="33" t="s">
        <v>25</v>
      </c>
      <c r="E2" s="33" t="s">
        <v>38</v>
      </c>
      <c r="F2" s="33" t="s">
        <v>37</v>
      </c>
      <c r="G2" s="33" t="s">
        <v>48</v>
      </c>
      <c r="H2" s="33" t="s">
        <v>49</v>
      </c>
      <c r="I2" s="33" t="s">
        <v>363</v>
      </c>
      <c r="J2" s="33" t="s">
        <v>0</v>
      </c>
      <c r="K2" s="33" t="s">
        <v>65</v>
      </c>
      <c r="L2" s="33" t="s">
        <v>1</v>
      </c>
      <c r="M2" s="33" t="s">
        <v>66</v>
      </c>
      <c r="N2" s="33" t="s">
        <v>65</v>
      </c>
      <c r="O2" s="33" t="s">
        <v>6</v>
      </c>
      <c r="P2" s="33" t="s">
        <v>67</v>
      </c>
      <c r="Q2" s="33" t="s">
        <v>65</v>
      </c>
      <c r="R2" s="33" t="s">
        <v>247</v>
      </c>
      <c r="S2" s="33" t="s">
        <v>50</v>
      </c>
    </row>
    <row r="3" spans="1:23" ht="9" customHeight="1">
      <c r="A3" s="33" t="s">
        <v>19</v>
      </c>
      <c r="B3" s="10">
        <f>VLOOKUP(B2,ポイント!$A$1:$D$43,4,FALSE)</f>
        <v>571</v>
      </c>
      <c r="D3" s="31" t="s">
        <v>55</v>
      </c>
      <c r="E3" s="10" t="str">
        <f>VLOOKUP(D3,武器!$A$2:$L$29,3,FALSE)</f>
        <v>斧</v>
      </c>
      <c r="F3" s="10">
        <f>VLOOKUP(D3,武器!$A$2:$L$29,5,FALSE)</f>
        <v>8</v>
      </c>
      <c r="G3" s="31" t="s">
        <v>68</v>
      </c>
      <c r="H3" s="31" t="s">
        <v>68</v>
      </c>
      <c r="I3" s="31" t="s">
        <v>68</v>
      </c>
      <c r="J3" s="10">
        <f>VLOOKUP(D3,武器!$A$2:$L$29,6,FALSE)</f>
        <v>4927</v>
      </c>
      <c r="K3" s="10">
        <f>ROUNDDOWN(J3*VLOOKUP(G3,武器!$Q$2:$R$7,2,FALSE),0)</f>
        <v>7390</v>
      </c>
      <c r="L3" s="10">
        <f>ROUNDDOWN((K3*(B5/100+1)+B5)*K25*P25,0)</f>
        <v>28362</v>
      </c>
      <c r="M3" s="10">
        <f>VLOOKUP(D3,武器!$A$2:$L$29,7,FALSE)</f>
        <v>44</v>
      </c>
      <c r="N3" s="10">
        <f>IF(N4&gt;100,100,N4)</f>
        <v>66</v>
      </c>
      <c r="O3" s="10">
        <f>IF(O4&gt;0.5,0.5,O4)</f>
        <v>0.23</v>
      </c>
      <c r="P3" s="10">
        <f>VLOOKUP(D3,武器!$A$2:$L$29,8,FALSE)</f>
        <v>55</v>
      </c>
      <c r="Q3" s="10">
        <f>ROUNDDOWN(P3*VLOOKUP(I3,武器!$Q$2:$R$7,2,FALSE),0)</f>
        <v>82</v>
      </c>
      <c r="R3" s="10">
        <f>IF(ROUNDDOWN(Q3*(B7/100+1),0)&gt;100,100,ROUNDDOWN(Q3*(B7/100+1),0))</f>
        <v>100</v>
      </c>
      <c r="S3" s="10">
        <f>VLOOKUP(D3,武器!$A$2:$L$29,10,FALSE)</f>
        <v>170</v>
      </c>
    </row>
    <row r="4" spans="1:23" ht="9" customHeight="1">
      <c r="A4" s="33" t="s">
        <v>23</v>
      </c>
      <c r="B4" s="10">
        <f>5</f>
        <v>5</v>
      </c>
      <c r="D4" s="33" t="s">
        <v>74</v>
      </c>
      <c r="E4" s="33" t="s">
        <v>364</v>
      </c>
      <c r="N4" s="27">
        <f>ROUNDDOWN(M3*VLOOKUP(H3,武器!$Q$2:$R$7,2,FALSE),0)</f>
        <v>66</v>
      </c>
      <c r="O4" s="27">
        <f>ROUNDDOWN((((N3*(B7/100+1))/5)+1)/100,2)</f>
        <v>0.23</v>
      </c>
    </row>
    <row r="5" spans="1:23" ht="9" customHeight="1">
      <c r="A5" s="33" t="s">
        <v>4</v>
      </c>
      <c r="B5" s="10">
        <f>技術計算!$L$3</f>
        <v>280</v>
      </c>
      <c r="C5" s="36">
        <v>5</v>
      </c>
      <c r="D5" s="10">
        <f>VLOOKUP(D3,武器!$A$2:$L$29,12,FALSE)</f>
        <v>82</v>
      </c>
      <c r="E5" s="10" t="str">
        <f>VLOOKUP(D3,武器!$A$2:$L$29,4,FALSE)</f>
        <v>中</v>
      </c>
      <c r="T5" s="11"/>
      <c r="U5" s="33" t="s">
        <v>101</v>
      </c>
      <c r="V5" s="33" t="s">
        <v>236</v>
      </c>
      <c r="W5" s="33" t="s">
        <v>50</v>
      </c>
    </row>
    <row r="6" spans="1:23" ht="9" customHeight="1">
      <c r="A6" s="33" t="s">
        <v>22</v>
      </c>
      <c r="B6" s="10">
        <f>MAX(C5:C7)</f>
        <v>127</v>
      </c>
      <c r="C6" s="27">
        <f>ROUNDUP(((W28-I26-I25)/I28*J9/R22/R26-B2*4.5)/3.5,0)</f>
        <v>21</v>
      </c>
      <c r="T6" s="33" t="s">
        <v>100</v>
      </c>
      <c r="U6" s="10">
        <f>ROUNDUP(M13/30,0)+ROUNDUP(M14/30,0)+ROUNDUP(M15/30,0)+ROUNDUP(M16/30,0)+ROUNDUP(M17/30,0)+ROUNDUP(M18/30,0)+ROUNDUP(M19/30,0)+ROUNDUP(F22/30,0)+ROUNDUP(M3/100,0)+ROUNDDOWN(F25-0.01,0)+ROUNDDOWN(FE26-0.01,0)</f>
        <v>7</v>
      </c>
      <c r="V6" s="10"/>
      <c r="W6" s="10">
        <f>S3+G22+Q20+ROUNDDOWN(F25-0.01,0)+ROUNDDOWN(F26-0.01,0)</f>
        <v>415</v>
      </c>
    </row>
    <row r="7" spans="1:23" ht="9" customHeight="1">
      <c r="A7" s="33" t="s">
        <v>5</v>
      </c>
      <c r="B7" s="10">
        <f>技術計算!$K$3</f>
        <v>67</v>
      </c>
      <c r="C7" s="36">
        <f>ROUNDUP((A12/F25/F26/J28-K20*F11)/(K20*F11/100+1/2),0)</f>
        <v>127</v>
      </c>
      <c r="D7" s="33" t="s">
        <v>4</v>
      </c>
      <c r="E7" s="10">
        <f>ROUNDDOWN(((B2+B5)*9+ROUNDDOWN(B2/10,0)*30+100)*R25,0)+L25</f>
        <v>3829</v>
      </c>
      <c r="G7" s="40" t="s">
        <v>93</v>
      </c>
      <c r="H7" s="40"/>
      <c r="I7" s="40"/>
      <c r="J7" s="10">
        <f>ROUNDDOWN((B2*3+50)*P28,0)</f>
        <v>353</v>
      </c>
      <c r="L7" s="33" t="s">
        <v>85</v>
      </c>
      <c r="M7" s="10">
        <f>ROUNDDOWN((K20*F11*(1+B6/100)+B6/2)*F25*F26*J28,0)</f>
        <v>3932</v>
      </c>
      <c r="O7" s="40" t="s">
        <v>95</v>
      </c>
      <c r="P7" s="40"/>
      <c r="Q7" s="10">
        <f>100+ROUNDDOWN(B2/3,0)</f>
        <v>133</v>
      </c>
      <c r="T7" s="33" t="s">
        <v>365</v>
      </c>
      <c r="U7" s="13">
        <v>1</v>
      </c>
      <c r="V7" s="13">
        <v>5</v>
      </c>
      <c r="W7" s="10">
        <f>U7*V7</f>
        <v>5</v>
      </c>
    </row>
    <row r="8" spans="1:23" ht="9" customHeight="1">
      <c r="A8" s="33" t="s">
        <v>13</v>
      </c>
      <c r="B8" s="10">
        <f>IF(ROUNDUP((C30*3-B2)/2,0)&lt;5,5,ROUNDUP((C30*3-B2)/2,0))</f>
        <v>10</v>
      </c>
      <c r="D8" s="33" t="s">
        <v>72</v>
      </c>
      <c r="E8" s="10">
        <f>(B2+B6)*9</f>
        <v>2052</v>
      </c>
      <c r="G8" s="40" t="s">
        <v>94</v>
      </c>
      <c r="H8" s="40"/>
      <c r="I8" s="40"/>
      <c r="J8" s="10">
        <f>ROUNDUP(E8/J7,0)</f>
        <v>6</v>
      </c>
      <c r="L8" s="33" t="s">
        <v>90</v>
      </c>
      <c r="M8" s="10">
        <f>E22</f>
        <v>0</v>
      </c>
      <c r="O8" s="40" t="s">
        <v>96</v>
      </c>
      <c r="P8" s="40"/>
      <c r="Q8" s="10">
        <f>ROUNDDOWN((B2*4.5+B6*3.5)*R26,0)</f>
        <v>899</v>
      </c>
      <c r="U8" s="37"/>
      <c r="V8" s="37"/>
    </row>
    <row r="9" spans="1:23" ht="9" customHeight="1">
      <c r="A9" s="33" t="s">
        <v>14</v>
      </c>
      <c r="B9" s="10">
        <f>D5</f>
        <v>82</v>
      </c>
      <c r="D9" s="33" t="s">
        <v>73</v>
      </c>
      <c r="E9" s="10">
        <f>(B2+B8)*9</f>
        <v>999</v>
      </c>
      <c r="G9" s="40" t="s">
        <v>267</v>
      </c>
      <c r="H9" s="40"/>
      <c r="I9" s="40"/>
      <c r="J9" s="10">
        <f>IF(R22&gt;P27,P27,R22)</f>
        <v>150</v>
      </c>
      <c r="L9" s="33" t="s">
        <v>89</v>
      </c>
      <c r="M9" s="10">
        <f>IF(N9&gt;0.5,0.5,N9)</f>
        <v>0.23</v>
      </c>
      <c r="N9" s="36">
        <f>ROUNDDOWN((((N20+F22+G25+G26)*(1+B9/100)+B9)/10+1)*K28,0)/100</f>
        <v>0.23</v>
      </c>
      <c r="O9" s="40" t="s">
        <v>97</v>
      </c>
      <c r="P9" s="40"/>
      <c r="Q9" s="10">
        <f>ROUNDDOWN(Q8*I28*R22/J9,0)+I25+I26</f>
        <v>1418</v>
      </c>
      <c r="S9" s="33" t="s">
        <v>109</v>
      </c>
      <c r="T9" s="33" t="s">
        <v>138</v>
      </c>
      <c r="U9" s="13">
        <v>1</v>
      </c>
      <c r="V9" s="13">
        <v>1</v>
      </c>
      <c r="W9" s="10">
        <f>U9*V9</f>
        <v>1</v>
      </c>
    </row>
    <row r="10" spans="1:23" ht="9" customHeight="1">
      <c r="L10" s="33" t="s">
        <v>107</v>
      </c>
      <c r="M10" s="10">
        <f>IF(N10&gt;0.5,0.5,N10)</f>
        <v>0</v>
      </c>
      <c r="N10" s="36">
        <f>IF(B4=5,0,(B4+J25)/200)</f>
        <v>0</v>
      </c>
      <c r="T10" s="33" t="s">
        <v>139</v>
      </c>
      <c r="U10" s="13">
        <v>1</v>
      </c>
      <c r="V10" s="13">
        <v>1</v>
      </c>
      <c r="W10" s="10">
        <f t="shared" ref="W10:W16" si="0">U10*V10</f>
        <v>1</v>
      </c>
    </row>
    <row r="11" spans="1:23" ht="9" customHeight="1">
      <c r="A11" s="40" t="s">
        <v>317</v>
      </c>
      <c r="B11" s="40"/>
      <c r="D11" s="33" t="s">
        <v>264</v>
      </c>
      <c r="E11" s="15" t="s">
        <v>157</v>
      </c>
      <c r="F11" s="36">
        <f>IF(E12=1,1.05,1)</f>
        <v>1</v>
      </c>
      <c r="T11" s="33" t="s">
        <v>366</v>
      </c>
      <c r="U11" s="13">
        <v>2</v>
      </c>
      <c r="V11" s="13">
        <v>1</v>
      </c>
      <c r="W11" s="10">
        <f t="shared" si="0"/>
        <v>2</v>
      </c>
    </row>
    <row r="12" spans="1:23" ht="9" customHeight="1">
      <c r="A12" s="54">
        <v>3920</v>
      </c>
      <c r="B12" s="54"/>
      <c r="D12" s="33" t="s">
        <v>75</v>
      </c>
      <c r="E12" s="36">
        <f>VLOOKUP(E11,武器!$Q$22:$R$23,2,FALSE)</f>
        <v>2</v>
      </c>
      <c r="F12" s="33" t="s">
        <v>37</v>
      </c>
      <c r="G12" s="33" t="s">
        <v>79</v>
      </c>
      <c r="H12" s="33" t="s">
        <v>367</v>
      </c>
      <c r="I12" s="33" t="s">
        <v>81</v>
      </c>
      <c r="J12" s="33" t="s">
        <v>85</v>
      </c>
      <c r="K12" s="33" t="s">
        <v>65</v>
      </c>
      <c r="M12" s="33" t="s">
        <v>89</v>
      </c>
      <c r="N12" s="33" t="s">
        <v>87</v>
      </c>
      <c r="P12" s="33" t="s">
        <v>50</v>
      </c>
      <c r="Q12" s="33" t="s">
        <v>87</v>
      </c>
      <c r="T12" s="33" t="s">
        <v>214</v>
      </c>
      <c r="U12" s="13">
        <v>1</v>
      </c>
      <c r="V12" s="13">
        <v>1</v>
      </c>
      <c r="W12" s="10">
        <f t="shared" si="0"/>
        <v>1</v>
      </c>
    </row>
    <row r="13" spans="1:23" ht="9" customHeight="1">
      <c r="A13" s="40" t="s">
        <v>388</v>
      </c>
      <c r="B13" s="40"/>
      <c r="D13" s="33" t="s">
        <v>76</v>
      </c>
      <c r="E13" s="31" t="s">
        <v>406</v>
      </c>
      <c r="F13" s="10">
        <f>VLOOKUP(E13,防具!$A$79:$H$94,4,FALSE)</f>
        <v>10</v>
      </c>
      <c r="G13" s="31" t="s">
        <v>68</v>
      </c>
      <c r="H13" s="31" t="s">
        <v>68</v>
      </c>
      <c r="I13" s="31" t="s">
        <v>68</v>
      </c>
      <c r="J13" s="10">
        <f>VLOOKUP(E13,防具!$A$79:$H$94,5,FALSE)</f>
        <v>86</v>
      </c>
      <c r="K13" s="10">
        <f>ROUNDDOWN(J13*VLOOKUP(G13,武器!$Q$2:$R$7,2,FALSE),0)</f>
        <v>129</v>
      </c>
      <c r="L13" s="33" t="s">
        <v>76</v>
      </c>
      <c r="M13" s="10">
        <f>VLOOKUP(E13,防具!$A$79:$H$94,6,FALSE)</f>
        <v>5</v>
      </c>
      <c r="N13" s="10">
        <f>ROUNDDOWN(M13*VLOOKUP(H13,武器!$Q$2:$R$7,2,FALSE),0)</f>
        <v>7</v>
      </c>
      <c r="O13" s="33" t="s">
        <v>76</v>
      </c>
      <c r="P13" s="10">
        <f>VLOOKUP(E13,防具!$A$79:$H$94,7,FALSE)</f>
        <v>33</v>
      </c>
      <c r="Q13" s="10">
        <f>ROUNDUP(P13*VLOOKUP(I13,武器!$Q$2:$S$7,3,FALSE),0)</f>
        <v>17</v>
      </c>
      <c r="T13" s="33" t="s">
        <v>215</v>
      </c>
      <c r="U13" s="13"/>
      <c r="V13" s="13">
        <v>1</v>
      </c>
      <c r="W13" s="10">
        <f t="shared" si="0"/>
        <v>0</v>
      </c>
    </row>
    <row r="14" spans="1:23" ht="9" customHeight="1">
      <c r="A14" s="52">
        <f>A27*0.8</f>
        <v>3920</v>
      </c>
      <c r="B14" s="52"/>
      <c r="D14" s="33" t="s">
        <v>368</v>
      </c>
      <c r="E14" s="31" t="s">
        <v>406</v>
      </c>
      <c r="F14" s="10">
        <f>VLOOKUP(E14,防具!$A$49:$H$63,4,FALSE)</f>
        <v>10</v>
      </c>
      <c r="G14" s="31" t="s">
        <v>68</v>
      </c>
      <c r="H14" s="31" t="s">
        <v>68</v>
      </c>
      <c r="I14" s="31" t="s">
        <v>68</v>
      </c>
      <c r="J14" s="10">
        <f>VLOOKUP(E14,防具!$A$49:$H$63,5,FALSE)</f>
        <v>201</v>
      </c>
      <c r="K14" s="10">
        <f>ROUNDDOWN(J14*VLOOKUP(G14,武器!$Q$2:$R$7,2,FALSE),0)</f>
        <v>301</v>
      </c>
      <c r="L14" s="33" t="s">
        <v>368</v>
      </c>
      <c r="M14" s="10">
        <f>VLOOKUP(E14,防具!$A$49:$H$63,6,FALSE)</f>
        <v>10</v>
      </c>
      <c r="N14" s="10">
        <f>ROUNDDOWN(M14*VLOOKUP(H14,武器!$Q$2:$R$7,2,FALSE),0)</f>
        <v>15</v>
      </c>
      <c r="O14" s="33" t="s">
        <v>368</v>
      </c>
      <c r="P14" s="10">
        <f>VLOOKUP(E14,防具!$A$49:$H$63,7,FALSE)</f>
        <v>228</v>
      </c>
      <c r="Q14" s="10">
        <f>ROUNDUP(P14*VLOOKUP(I14,武器!$Q$2:$S$7,3,FALSE),0)</f>
        <v>114</v>
      </c>
      <c r="T14" s="33" t="s">
        <v>216</v>
      </c>
      <c r="U14" s="13">
        <v>3</v>
      </c>
      <c r="V14" s="13">
        <v>1</v>
      </c>
      <c r="W14" s="10">
        <f t="shared" si="0"/>
        <v>3</v>
      </c>
    </row>
    <row r="15" spans="1:23" ht="9" customHeight="1">
      <c r="A15" s="40" t="s">
        <v>390</v>
      </c>
      <c r="B15" s="40"/>
      <c r="D15" s="33" t="s">
        <v>122</v>
      </c>
      <c r="E15" s="31" t="s">
        <v>406</v>
      </c>
      <c r="F15" s="10">
        <f>VLOOKUP(E15,防具!$A$2:$H$15,4,FALSE)</f>
        <v>10</v>
      </c>
      <c r="G15" s="31" t="s">
        <v>68</v>
      </c>
      <c r="H15" s="31" t="s">
        <v>68</v>
      </c>
      <c r="I15" s="31" t="s">
        <v>68</v>
      </c>
      <c r="J15" s="10">
        <f>VLOOKUP(E15,防具!$A$2:$H$15,5,FALSE)</f>
        <v>139</v>
      </c>
      <c r="K15" s="10">
        <f>ROUNDDOWN(J15*VLOOKUP(G15,武器!$Q$2:$R$7,2,FALSE),0)</f>
        <v>208</v>
      </c>
      <c r="L15" s="33" t="s">
        <v>122</v>
      </c>
      <c r="M15" s="10">
        <f>VLOOKUP(E15,防具!$A$2:$H$15,6,FALSE)</f>
        <v>10</v>
      </c>
      <c r="N15" s="10">
        <f>ROUNDDOWN(M15*VLOOKUP(H15,武器!$Q$2:$R$7,2,FALSE),0)</f>
        <v>15</v>
      </c>
      <c r="O15" s="33" t="s">
        <v>122</v>
      </c>
      <c r="P15" s="10">
        <f>VLOOKUP(E15,防具!$A$2:$H$15,7,FALSE)</f>
        <v>70</v>
      </c>
      <c r="Q15" s="10">
        <f>ROUNDUP(P15*VLOOKUP(I15,武器!$Q$2:$S$7,3,FALSE),0)</f>
        <v>35</v>
      </c>
      <c r="T15" s="33" t="s">
        <v>217</v>
      </c>
      <c r="U15" s="13">
        <v>5</v>
      </c>
      <c r="V15" s="13">
        <v>1</v>
      </c>
      <c r="W15" s="10">
        <f t="shared" si="0"/>
        <v>5</v>
      </c>
    </row>
    <row r="16" spans="1:23" ht="9" customHeight="1">
      <c r="A16" s="52">
        <f>ROUNDDOWN(E7/A41,0)</f>
        <v>3</v>
      </c>
      <c r="B16" s="52"/>
      <c r="C16" s="53" t="str">
        <f>VLOOKUP(E16,防具!$A$16:$I$32,9,FALSE)</f>
        <v>-</v>
      </c>
      <c r="D16" s="33" t="s">
        <v>128</v>
      </c>
      <c r="E16" s="31" t="s">
        <v>406</v>
      </c>
      <c r="F16" s="10">
        <f>VLOOKUP(E16,防具!$A$16:$I$32,4,FALSE)</f>
        <v>10</v>
      </c>
      <c r="G16" s="31" t="s">
        <v>68</v>
      </c>
      <c r="H16" s="31" t="s">
        <v>68</v>
      </c>
      <c r="I16" s="31" t="s">
        <v>68</v>
      </c>
      <c r="J16" s="10">
        <f>VLOOKUP(E16,防具!$A$16:$I$32,5,FALSE)</f>
        <v>147</v>
      </c>
      <c r="K16" s="10">
        <f>ROUNDDOWN(J16*VLOOKUP(G16,武器!$Q$2:$R$7,2,FALSE),0)</f>
        <v>220</v>
      </c>
      <c r="L16" s="33" t="s">
        <v>128</v>
      </c>
      <c r="M16" s="10">
        <f>VLOOKUP(E16,防具!$A$16:$I$32,6,FALSE)</f>
        <v>10</v>
      </c>
      <c r="N16" s="10">
        <f>ROUNDDOWN(M16*VLOOKUP(H16,武器!$Q$2:$R$7,2,FALSE),0)</f>
        <v>15</v>
      </c>
      <c r="O16" s="33" t="s">
        <v>128</v>
      </c>
      <c r="P16" s="10">
        <f>VLOOKUP(E16,防具!$A$16:$I$32,7,FALSE)</f>
        <v>98</v>
      </c>
      <c r="Q16" s="10">
        <f>ROUNDUP(P16*VLOOKUP(I16,武器!$Q$2:$S$7,3,FALSE),0)</f>
        <v>49</v>
      </c>
      <c r="T16" s="33" t="s">
        <v>218</v>
      </c>
      <c r="U16" s="13"/>
      <c r="V16" s="13">
        <v>1</v>
      </c>
      <c r="W16" s="10">
        <f t="shared" si="0"/>
        <v>0</v>
      </c>
    </row>
    <row r="17" spans="1:23" ht="9" customHeight="1">
      <c r="A17" s="40" t="s">
        <v>389</v>
      </c>
      <c r="B17" s="40"/>
      <c r="D17" s="33" t="s">
        <v>369</v>
      </c>
      <c r="E17" s="31" t="s">
        <v>157</v>
      </c>
      <c r="F17" s="10" t="str">
        <f>VLOOKUP(E17,防具!$A$33:$H$37,4,FALSE)</f>
        <v>-</v>
      </c>
      <c r="G17" s="31" t="s">
        <v>68</v>
      </c>
      <c r="H17" s="31" t="s">
        <v>68</v>
      </c>
      <c r="I17" s="31" t="s">
        <v>82</v>
      </c>
      <c r="J17" s="10">
        <f>VLOOKUP(E17,防具!$A$33:$H$37,5,FALSE)</f>
        <v>0</v>
      </c>
      <c r="K17" s="10">
        <f>ROUNDDOWN(J17*VLOOKUP(G17,武器!$Q$2:$R$7,2,FALSE),0)</f>
        <v>0</v>
      </c>
      <c r="L17" s="33" t="s">
        <v>369</v>
      </c>
      <c r="M17" s="10">
        <f>VLOOKUP(E17,防具!$A$33:$H$37,6,FALSE)</f>
        <v>0</v>
      </c>
      <c r="N17" s="10">
        <f>ROUNDDOWN(M17*VLOOKUP(H17,武器!$Q$2:$R$7,2,FALSE),0)</f>
        <v>0</v>
      </c>
      <c r="O17" s="33" t="s">
        <v>369</v>
      </c>
      <c r="P17" s="10">
        <f>VLOOKUP(E17,防具!$A$33:$H$37,7,FALSE)</f>
        <v>0</v>
      </c>
      <c r="Q17" s="10">
        <f>ROUNDUP(P17*VLOOKUP(I17,武器!$Q$2:$S$7,3,FALSE),0)</f>
        <v>0</v>
      </c>
      <c r="R17" s="33" t="s">
        <v>103</v>
      </c>
      <c r="U17" s="37"/>
      <c r="V17" s="37"/>
    </row>
    <row r="18" spans="1:23" ht="9" customHeight="1">
      <c r="A18" s="54">
        <v>3</v>
      </c>
      <c r="B18" s="54"/>
      <c r="D18" s="33" t="s">
        <v>78</v>
      </c>
      <c r="E18" s="31" t="s">
        <v>406</v>
      </c>
      <c r="F18" s="10">
        <f>VLOOKUP(E18,防具!$A$64:$H$78,4,FALSE)</f>
        <v>10</v>
      </c>
      <c r="G18" s="31" t="s">
        <v>68</v>
      </c>
      <c r="H18" s="31" t="s">
        <v>68</v>
      </c>
      <c r="I18" s="31" t="s">
        <v>68</v>
      </c>
      <c r="J18" s="10">
        <f>VLOOKUP(E18,防具!$A$64:$H$78,5,FALSE)</f>
        <v>76</v>
      </c>
      <c r="K18" s="10">
        <f>ROUNDDOWN(J18*VLOOKUP(G18,武器!$Q$2:$R$7,2,FALSE),0)</f>
        <v>114</v>
      </c>
      <c r="L18" s="33" t="s">
        <v>78</v>
      </c>
      <c r="M18" s="10">
        <f>VLOOKUP(E18,防具!$A$64:$H$78,6,FALSE)</f>
        <v>10</v>
      </c>
      <c r="N18" s="10">
        <f>ROUNDDOWN(M18*VLOOKUP(H18,武器!$Q$2:$R$7,2,FALSE),0)</f>
        <v>15</v>
      </c>
      <c r="O18" s="33" t="s">
        <v>78</v>
      </c>
      <c r="P18" s="10">
        <f>VLOOKUP(E18,防具!$A$64:$H$78,7,FALSE)</f>
        <v>56</v>
      </c>
      <c r="Q18" s="10">
        <f>ROUNDUP(P18*VLOOKUP(I18,武器!$Q$2:$S$7,3,FALSE),0)</f>
        <v>28</v>
      </c>
      <c r="R18" s="10">
        <f>VLOOKUP(E18,防具!$A$64:$H$78,8,FALSE)</f>
        <v>42</v>
      </c>
      <c r="S18" s="16" t="s">
        <v>219</v>
      </c>
      <c r="T18" s="13"/>
      <c r="U18" s="13">
        <v>1</v>
      </c>
      <c r="V18" s="13"/>
      <c r="W18" s="10">
        <f>U18*V18</f>
        <v>0</v>
      </c>
    </row>
    <row r="19" spans="1:23" ht="9" customHeight="1">
      <c r="A19" s="40" t="s">
        <v>387</v>
      </c>
      <c r="B19" s="40"/>
      <c r="C19" s="53" t="str">
        <f>VLOOKUP(E19,防具!$A$38:$I$47,9,FALSE)</f>
        <v>-</v>
      </c>
      <c r="D19" s="33" t="s">
        <v>135</v>
      </c>
      <c r="E19" s="31" t="s">
        <v>157</v>
      </c>
      <c r="F19" s="10" t="str">
        <f>VLOOKUP(E19,防具!$A$38:$I$47,4,FALSE)</f>
        <v>-</v>
      </c>
      <c r="G19" s="31" t="s">
        <v>68</v>
      </c>
      <c r="H19" s="31" t="s">
        <v>82</v>
      </c>
      <c r="I19" s="31" t="s">
        <v>68</v>
      </c>
      <c r="J19" s="10">
        <f>VLOOKUP(E19,防具!$A$38:$I$47,5,FALSE)</f>
        <v>0</v>
      </c>
      <c r="K19" s="10">
        <f>ROUNDDOWN(J19*VLOOKUP(G19,武器!$Q$2:$R$7,2,FALSE),0)</f>
        <v>0</v>
      </c>
      <c r="L19" s="33" t="s">
        <v>135</v>
      </c>
      <c r="M19" s="10">
        <f>VLOOKUP(E19,防具!$A$38:$I$47,6,FALSE)</f>
        <v>0</v>
      </c>
      <c r="N19" s="10">
        <f>ROUNDDOWN(M19*VLOOKUP(H19,武器!$Q$2:$R$7,2,FALSE),0)</f>
        <v>0</v>
      </c>
      <c r="O19" s="33" t="s">
        <v>135</v>
      </c>
      <c r="P19" s="10">
        <f>VLOOKUP(E19,防具!$A$38:$I$47,7,FALSE)</f>
        <v>0</v>
      </c>
      <c r="Q19" s="10">
        <f>ROUNDUP(P19*VLOOKUP(I19,武器!$Q$2:$S$7,3,FALSE),0)</f>
        <v>0</v>
      </c>
      <c r="R19" s="10">
        <f>VLOOKUP(E19,防具!$A$38:$I$47,8,FALSE)</f>
        <v>0</v>
      </c>
      <c r="T19" s="13"/>
      <c r="U19" s="13">
        <v>1</v>
      </c>
      <c r="V19" s="13"/>
      <c r="W19" s="10">
        <f t="shared" ref="W19:W21" si="1">U19*V19</f>
        <v>0</v>
      </c>
    </row>
    <row r="20" spans="1:23" ht="9" customHeight="1">
      <c r="A20" s="52">
        <f>IF(A21&gt;5,A21,5)</f>
        <v>275</v>
      </c>
      <c r="B20" s="52"/>
      <c r="J20" s="33" t="s">
        <v>86</v>
      </c>
      <c r="K20" s="10">
        <f>SUM(K13,K14,K15,K16,K17,K18,K19)</f>
        <v>972</v>
      </c>
      <c r="M20" s="33" t="s">
        <v>88</v>
      </c>
      <c r="N20" s="10">
        <f>SUM(N13,N14,N15,N16,N17,N18,N19)</f>
        <v>67</v>
      </c>
      <c r="P20" s="33" t="s">
        <v>88</v>
      </c>
      <c r="Q20" s="10">
        <f>SUM(Q13,Q14,Q15,Q16,Q17,Q18,Q19)</f>
        <v>243</v>
      </c>
      <c r="R20" s="10">
        <f>R18+R19</f>
        <v>42</v>
      </c>
      <c r="T20" s="13"/>
      <c r="U20" s="13"/>
      <c r="V20" s="13"/>
      <c r="W20" s="10">
        <f t="shared" si="1"/>
        <v>0</v>
      </c>
    </row>
    <row r="21" spans="1:23" ht="9" customHeight="1">
      <c r="A21" s="36">
        <f>ROUNDUP(((A41*A18-L25+1)/R25-100-ROUNDDOWN(B2/10,0)*30+100)/9-B2,0)</f>
        <v>275</v>
      </c>
      <c r="B21" s="36" t="s">
        <v>315</v>
      </c>
      <c r="D21" s="32" t="str">
        <f>IF((H33-1)*(H33-3)=0,B22,B21)</f>
        <v>盾不可</v>
      </c>
      <c r="E21" s="33" t="s">
        <v>90</v>
      </c>
      <c r="F21" s="33" t="s">
        <v>92</v>
      </c>
      <c r="G21" s="33" t="s">
        <v>50</v>
      </c>
      <c r="T21" s="13"/>
      <c r="U21" s="13"/>
      <c r="V21" s="13"/>
      <c r="W21" s="10">
        <f t="shared" si="1"/>
        <v>0</v>
      </c>
    </row>
    <row r="22" spans="1:23" ht="9" customHeight="1">
      <c r="A22" s="36"/>
      <c r="B22" s="36" t="s">
        <v>316</v>
      </c>
      <c r="C22" s="33" t="s">
        <v>91</v>
      </c>
      <c r="D22" s="31" t="s">
        <v>157</v>
      </c>
      <c r="E22" s="10">
        <f>VLOOKUP(D22,防具!$Y$2:$AB$6,2,FALSE)</f>
        <v>0</v>
      </c>
      <c r="F22" s="10">
        <f>VLOOKUP(D22,防具!$Y$2:$AB$6,3,FALSE)</f>
        <v>0</v>
      </c>
      <c r="G22" s="10">
        <f>VLOOKUP(D22,防具!$Y$2:$AB$6,4,FALSE)</f>
        <v>0</v>
      </c>
      <c r="P22" s="40" t="s">
        <v>166</v>
      </c>
      <c r="Q22" s="40"/>
      <c r="R22" s="10">
        <f>ROUNDDOWN(((R20+100)*(1+B9/200))*H25*P26,0)</f>
        <v>220</v>
      </c>
      <c r="T22" s="13"/>
      <c r="U22" s="13"/>
      <c r="V22" s="13"/>
      <c r="W22" s="10">
        <f>U22*V22</f>
        <v>0</v>
      </c>
    </row>
    <row r="23" spans="1:23" ht="9" customHeight="1">
      <c r="T23" s="37"/>
      <c r="U23" s="37"/>
      <c r="V23" s="37"/>
    </row>
    <row r="24" spans="1:23" ht="9" customHeight="1">
      <c r="A24" s="35" t="s">
        <v>376</v>
      </c>
      <c r="F24" s="33" t="s">
        <v>249</v>
      </c>
      <c r="G24" s="33" t="s">
        <v>92</v>
      </c>
      <c r="H24" s="33" t="s">
        <v>250</v>
      </c>
      <c r="I24" s="33" t="s">
        <v>50</v>
      </c>
      <c r="J24" s="33" t="s">
        <v>240</v>
      </c>
      <c r="K24" s="33" t="s">
        <v>108</v>
      </c>
      <c r="L24" s="33" t="s">
        <v>204</v>
      </c>
      <c r="N24" s="36"/>
      <c r="O24" s="36" t="s">
        <v>261</v>
      </c>
      <c r="P24" s="36"/>
      <c r="Q24" s="36"/>
      <c r="R24" s="36"/>
      <c r="S24" s="33" t="s">
        <v>102</v>
      </c>
      <c r="T24" s="13" t="s">
        <v>355</v>
      </c>
      <c r="U24" s="13">
        <v>110</v>
      </c>
      <c r="V24" s="13">
        <v>4</v>
      </c>
      <c r="W24" s="10">
        <f>U24*V24</f>
        <v>440</v>
      </c>
    </row>
    <row r="25" spans="1:23" ht="9" customHeight="1">
      <c r="A25" s="13">
        <v>25000000</v>
      </c>
      <c r="C25" s="33" t="s">
        <v>370</v>
      </c>
      <c r="D25" s="45" t="s">
        <v>391</v>
      </c>
      <c r="E25" s="45"/>
      <c r="F25" s="10">
        <f>VLOOKUP(D25,防具!$M$2:$W$31,5,FALSE)</f>
        <v>1.1000000000000001</v>
      </c>
      <c r="G25" s="10">
        <f>VLOOKUP(D25,防具!$M$2:$W$31,6,FALSE)</f>
        <v>0</v>
      </c>
      <c r="H25" s="10">
        <f>VLOOKUP(D25,防具!$M$2:$W$31,7,FALSE)</f>
        <v>1.1000000000000001</v>
      </c>
      <c r="I25" s="10">
        <f>VLOOKUP(D25,防具!$M$2:$W$31,8,FALSE)</f>
        <v>0</v>
      </c>
      <c r="J25" s="10">
        <f>VLOOKUP(D25,防具!$M$2:$W$31,9,FALSE)</f>
        <v>0</v>
      </c>
      <c r="K25" s="10">
        <f>VLOOKUP(D25,防具!$M$2:$W$31,10,FALSE)</f>
        <v>1</v>
      </c>
      <c r="L25" s="10">
        <f>VLOOKUP(D25,防具!$M$2:$W$31,11,FALSE)</f>
        <v>0</v>
      </c>
      <c r="N25" s="26" t="s">
        <v>108</v>
      </c>
      <c r="O25" s="26"/>
      <c r="P25" s="26">
        <f>IF(R19=0,1,1.3)</f>
        <v>1</v>
      </c>
      <c r="Q25" s="26" t="s">
        <v>4</v>
      </c>
      <c r="R25" s="26">
        <f>IF(R19=0,1,0.7)</f>
        <v>1</v>
      </c>
      <c r="T25" s="13"/>
      <c r="U25" s="13"/>
      <c r="V25" s="13"/>
      <c r="W25" s="10">
        <f>U25*V25</f>
        <v>0</v>
      </c>
    </row>
    <row r="26" spans="1:23" ht="9" customHeight="1">
      <c r="A26" s="35" t="s">
        <v>377</v>
      </c>
      <c r="C26" s="33" t="s">
        <v>99</v>
      </c>
      <c r="D26" s="45" t="s">
        <v>392</v>
      </c>
      <c r="E26" s="45"/>
      <c r="F26" s="10">
        <f>VLOOKUP(D26,防具!$M$32:$W$38,5,FALSE)</f>
        <v>1.05</v>
      </c>
      <c r="G26" s="10">
        <f>VLOOKUP(D26,防具!$M$32:$W$38,6,FALSE)</f>
        <v>10</v>
      </c>
      <c r="H26" s="10">
        <f>VLOOKUP(D26,防具!$M$32:$W$38,7,FALSE)</f>
        <v>1</v>
      </c>
      <c r="I26" s="10">
        <f>VLOOKUP(D26,防具!$M$32:$W$38,8,FALSE)</f>
        <v>100</v>
      </c>
      <c r="J26" s="10">
        <f>VLOOKUP(D26,防具!$M$32:$W$38,9,FALSE)</f>
        <v>0</v>
      </c>
      <c r="K26" s="10">
        <f>VLOOKUP(D26,防具!$M$32:$W$38,10,FALSE)</f>
        <v>1</v>
      </c>
      <c r="L26" s="10">
        <f>VLOOKUP(D26,防具!$M$32:$W$38,11,FALSE)</f>
        <v>0</v>
      </c>
      <c r="N26" s="26" t="s">
        <v>262</v>
      </c>
      <c r="O26" s="26"/>
      <c r="P26" s="26">
        <f>IF(R19=0,1,1.2)</f>
        <v>1</v>
      </c>
      <c r="Q26" s="26" t="s">
        <v>96</v>
      </c>
      <c r="R26" s="26">
        <f>IF(R19=0,1,0.8)</f>
        <v>1</v>
      </c>
      <c r="T26" s="13"/>
      <c r="U26" s="13"/>
      <c r="V26" s="13"/>
      <c r="W26" s="10">
        <f>U26*V26</f>
        <v>0</v>
      </c>
    </row>
    <row r="27" spans="1:23" ht="9" customHeight="1">
      <c r="A27" s="13">
        <v>4900</v>
      </c>
      <c r="C27" s="36">
        <f>VLOOKUP(E27,テクニック!A2:I14,9,FALSE)</f>
        <v>40</v>
      </c>
      <c r="D27" s="33" t="s">
        <v>371</v>
      </c>
      <c r="E27" s="31" t="s">
        <v>220</v>
      </c>
      <c r="F27" s="36"/>
      <c r="G27" s="36"/>
      <c r="H27" s="36"/>
      <c r="I27" s="36">
        <f>VLOOKUP(E27,テクニック!A2:H3,5,FALSE)</f>
        <v>1.1000000000000001</v>
      </c>
      <c r="N27" s="26" t="s">
        <v>263</v>
      </c>
      <c r="O27" s="26"/>
      <c r="P27" s="26">
        <f>IF(R19=0,150,170)</f>
        <v>150</v>
      </c>
      <c r="Q27" s="26"/>
      <c r="R27" s="26"/>
    </row>
    <row r="28" spans="1:23" ht="9" customHeight="1">
      <c r="A28" s="35" t="s">
        <v>378</v>
      </c>
      <c r="C28" s="36">
        <f>VLOOKUP(E28,テクニック!A2:I14,9,FALSE)</f>
        <v>40</v>
      </c>
      <c r="D28" s="33" t="s">
        <v>372</v>
      </c>
      <c r="E28" s="31" t="s">
        <v>221</v>
      </c>
      <c r="F28" s="36"/>
      <c r="G28" s="36">
        <f>VLOOKUP(E28,テクニック!A4:H7,3,FALSE)</f>
        <v>10</v>
      </c>
      <c r="H28" s="36"/>
      <c r="I28" s="36">
        <f>VLOOKUP(E28,テクニック!A4:H7,6,FALSE)</f>
        <v>1</v>
      </c>
      <c r="J28" s="36">
        <f>VLOOKUP(E28,テクニック!A4:H7,7,FALSE)</f>
        <v>1.5</v>
      </c>
      <c r="K28" s="36">
        <f>VLOOKUP(E28,テクニック!A4:H7,8,FALSE)</f>
        <v>1</v>
      </c>
      <c r="N28" s="26" t="s">
        <v>93</v>
      </c>
      <c r="O28" s="26"/>
      <c r="P28" s="26">
        <f>IF(R19=0,1,0.8)</f>
        <v>1</v>
      </c>
      <c r="Q28" s="26"/>
      <c r="R28" s="26"/>
      <c r="T28" s="33" t="s">
        <v>24</v>
      </c>
      <c r="U28" s="10">
        <f>U26+U25+U24+U22+U21+U20+U19+U18+U16+U15+U14+U13+U12+U11+U10+U9+U7+U6</f>
        <v>133</v>
      </c>
      <c r="W28" s="10">
        <f>W26+W25+W24+W22+W21+W20+W19+W18+W16+W15+W14+W13+W12+W11+W10+W9+W7+W6</f>
        <v>873</v>
      </c>
    </row>
    <row r="29" spans="1:23" ht="9" customHeight="1">
      <c r="A29" s="13">
        <v>0</v>
      </c>
      <c r="C29" s="36">
        <f>VLOOKUP(E29,テクニック!A2:I14,9,FALSE)</f>
        <v>30</v>
      </c>
      <c r="D29" s="33" t="s">
        <v>113</v>
      </c>
      <c r="E29" s="31" t="s">
        <v>258</v>
      </c>
      <c r="F29" s="36">
        <f>VLOOKUP(E29,テクニック!A8:H14,2,FALSE)</f>
        <v>2</v>
      </c>
      <c r="G29" s="36">
        <f>VLOOKUP(E29,テクニック!A8:H14,3,FALSE)</f>
        <v>75</v>
      </c>
      <c r="H29" s="36"/>
      <c r="I29" s="36">
        <f>IF(F29=H33,VLOOKUP(E29,テクニック!A8:H14,4,FALSE),1)</f>
        <v>1</v>
      </c>
      <c r="J29" s="36">
        <f>IF(F29=H33,VLOOKUP(E29,テクニック!A8:H14,5,FALSE),1)</f>
        <v>2</v>
      </c>
      <c r="K29" s="36"/>
      <c r="N29" s="36"/>
      <c r="O29" s="36"/>
      <c r="P29" s="36"/>
      <c r="Q29" s="36"/>
      <c r="R29" s="36"/>
      <c r="T29" s="33" t="s">
        <v>238</v>
      </c>
      <c r="U29" s="10">
        <f>Q7</f>
        <v>133</v>
      </c>
      <c r="W29" s="10">
        <f>Q9</f>
        <v>1418</v>
      </c>
    </row>
    <row r="30" spans="1:23" ht="9" customHeight="1">
      <c r="C30" s="36">
        <f>MAX(C27:C29)</f>
        <v>40</v>
      </c>
      <c r="D30" s="36" t="s">
        <v>230</v>
      </c>
      <c r="F30" s="41">
        <f>VLOOKUP(E5,武器!Q13:R15,2,FALSE)</f>
        <v>0.25</v>
      </c>
      <c r="G30" s="41"/>
      <c r="H30" s="36"/>
      <c r="I30" s="36"/>
      <c r="J30" s="40" t="s">
        <v>114</v>
      </c>
      <c r="K30" s="40"/>
      <c r="L30" s="10">
        <f>O3</f>
        <v>0.23</v>
      </c>
      <c r="T30" s="33" t="s">
        <v>110</v>
      </c>
      <c r="U30" s="10">
        <f>IF(V30&gt;P27,P27,V30)</f>
        <v>150</v>
      </c>
      <c r="V30" s="36">
        <f>ROUNDDOWN(R22*Q8*I28/(W28-I26-I25),0)</f>
        <v>255</v>
      </c>
    </row>
    <row r="31" spans="1:23" ht="9" customHeight="1">
      <c r="A31" s="40" t="s">
        <v>393</v>
      </c>
      <c r="B31" s="40"/>
      <c r="D31" s="33" t="s">
        <v>117</v>
      </c>
      <c r="E31" s="31" t="s">
        <v>211</v>
      </c>
      <c r="F31" s="41">
        <f>VLOOKUP(E31,武器!Q13:R15,2,FALSE)</f>
        <v>0.5</v>
      </c>
      <c r="G31" s="41"/>
      <c r="H31" s="36"/>
      <c r="I31" s="36"/>
      <c r="J31" s="40" t="s">
        <v>7</v>
      </c>
      <c r="K31" s="40"/>
      <c r="L31" s="10">
        <f>(B7/100+2)*I29*(E33*2+1-E33)</f>
        <v>3.2039999999999997</v>
      </c>
      <c r="N31" s="37"/>
    </row>
    <row r="32" spans="1:23" ht="9" customHeight="1">
      <c r="A32" s="54">
        <v>16</v>
      </c>
      <c r="B32" s="54"/>
      <c r="D32" s="36" t="s">
        <v>10</v>
      </c>
      <c r="F32" s="41">
        <f>1+F30-F31</f>
        <v>0.75</v>
      </c>
      <c r="G32" s="41"/>
      <c r="H32" s="36" t="s">
        <v>234</v>
      </c>
      <c r="I32" s="36"/>
      <c r="N32" s="36">
        <f>IF(F30=0,21,41)</f>
        <v>41</v>
      </c>
    </row>
    <row r="33" spans="1:19" ht="9" customHeight="1">
      <c r="D33" s="33" t="s">
        <v>111</v>
      </c>
      <c r="E33" s="13">
        <v>0.2</v>
      </c>
      <c r="F33" s="36"/>
      <c r="G33" s="36"/>
      <c r="H33" s="36">
        <f>VLOOKUP(D3,武器!A2:N29,13,FALSE)</f>
        <v>2</v>
      </c>
      <c r="I33" s="36"/>
      <c r="J33" s="40" t="s">
        <v>116</v>
      </c>
      <c r="K33" s="40"/>
      <c r="L33" s="43">
        <f>(L3*(L30*L31+(1-L30)*1)*I27*J29*F32*G34-A29)*F37</f>
        <v>70519.787316000002</v>
      </c>
      <c r="M33" s="44"/>
      <c r="N33" s="36">
        <v>162</v>
      </c>
    </row>
    <row r="34" spans="1:19" ht="9" customHeight="1">
      <c r="A34" s="35" t="s">
        <v>394</v>
      </c>
      <c r="D34" s="33" t="s">
        <v>233</v>
      </c>
      <c r="E34" s="31" t="s">
        <v>157</v>
      </c>
      <c r="F34" s="36">
        <f>VLOOKUP(E34,武器!$Q$22:$R$23,2,FALSE)</f>
        <v>2</v>
      </c>
      <c r="G34" s="36">
        <f>IF(F34=1,E35*1.5+1-E35,1)</f>
        <v>1</v>
      </c>
      <c r="H34" s="36"/>
      <c r="I34" s="36"/>
      <c r="J34" s="40" t="s">
        <v>118</v>
      </c>
      <c r="K34" s="40"/>
      <c r="L34" s="10">
        <f>IF(H33=4,N32,N33)</f>
        <v>162</v>
      </c>
      <c r="M34" s="40" t="s">
        <v>212</v>
      </c>
      <c r="N34" s="40"/>
      <c r="O34" s="40"/>
      <c r="P34" s="40"/>
    </row>
    <row r="35" spans="1:19" ht="9" customHeight="1">
      <c r="A35" s="10">
        <f>A27-M7</f>
        <v>968</v>
      </c>
      <c r="D35" s="33" t="s">
        <v>47</v>
      </c>
      <c r="E35" s="10">
        <f>F52/F51</f>
        <v>0.50971569758610913</v>
      </c>
      <c r="F35" s="36"/>
      <c r="G35" s="36"/>
      <c r="H35" s="36"/>
      <c r="I35" s="36"/>
      <c r="J35" s="40" t="s">
        <v>353</v>
      </c>
      <c r="K35" s="40"/>
      <c r="L35" s="32">
        <f>L33*L34</f>
        <v>11424205.545192</v>
      </c>
      <c r="M35" s="40" t="s">
        <v>352</v>
      </c>
      <c r="N35" s="40"/>
      <c r="O35" s="40"/>
      <c r="P35" s="40"/>
    </row>
    <row r="36" spans="1:19" ht="9" customHeight="1">
      <c r="A36" s="35" t="s">
        <v>381</v>
      </c>
      <c r="D36" s="33" t="s">
        <v>235</v>
      </c>
      <c r="E36" s="13">
        <v>10000</v>
      </c>
      <c r="F36" s="41">
        <f>E36*12</f>
        <v>120000</v>
      </c>
      <c r="G36" s="41"/>
      <c r="H36" s="36"/>
      <c r="I36" s="36"/>
      <c r="J36" s="40" t="s">
        <v>270</v>
      </c>
      <c r="K36" s="40"/>
      <c r="L36" s="10">
        <f>(G28+G29)*60</f>
        <v>5100</v>
      </c>
    </row>
    <row r="37" spans="1:19" ht="9" customHeight="1">
      <c r="A37" s="10">
        <f>A27*0.2</f>
        <v>980</v>
      </c>
      <c r="B37" s="36">
        <f>IF(A35&gt;A37,A35,A37)</f>
        <v>980</v>
      </c>
      <c r="D37" s="34" t="s">
        <v>351</v>
      </c>
      <c r="E37" s="29">
        <v>4</v>
      </c>
      <c r="F37" s="36">
        <f>IF(H33&gt;3,E37,1)</f>
        <v>1</v>
      </c>
      <c r="G37" s="36"/>
      <c r="H37" s="36"/>
      <c r="I37" s="36"/>
      <c r="J37" s="42" t="s">
        <v>271</v>
      </c>
      <c r="K37" s="42"/>
      <c r="L37" s="19">
        <f>IF(M37&gt;F36,F36,M37)</f>
        <v>11523.205545192</v>
      </c>
      <c r="M37" s="36">
        <f>L33/1000*L34+ROUNDDOWN(E9/10,0)</f>
        <v>11523.205545192</v>
      </c>
    </row>
    <row r="38" spans="1:19" ht="9" customHeight="1">
      <c r="A38" s="35" t="s">
        <v>379</v>
      </c>
      <c r="B38" s="36"/>
      <c r="C38" s="40" t="s">
        <v>354</v>
      </c>
      <c r="D38" s="40"/>
      <c r="E38" s="40"/>
      <c r="F38" s="40"/>
      <c r="J38" s="40" t="s">
        <v>121</v>
      </c>
      <c r="K38" s="40"/>
      <c r="L38" s="40"/>
      <c r="M38" s="40"/>
      <c r="N38" s="40"/>
      <c r="O38" s="40"/>
      <c r="P38" s="40"/>
    </row>
    <row r="39" spans="1:19" ht="9" customHeight="1">
      <c r="A39" s="51" t="s">
        <v>382</v>
      </c>
      <c r="B39" s="36">
        <f>VLOOKUP(A39,ステ計算型!$A$42:$B$46,2,FALSE)</f>
        <v>0.25</v>
      </c>
    </row>
    <row r="40" spans="1:19" ht="9" customHeight="1">
      <c r="A40" s="35" t="s">
        <v>380</v>
      </c>
      <c r="B40" s="36"/>
      <c r="D40" s="39" t="s">
        <v>373</v>
      </c>
      <c r="E40" s="39"/>
      <c r="F40" s="39"/>
      <c r="G40" s="39"/>
      <c r="H40" s="39"/>
      <c r="I40" s="39"/>
      <c r="J40" s="39"/>
      <c r="K40" s="39"/>
      <c r="L40" s="39"/>
      <c r="M40" s="39"/>
      <c r="N40" s="39"/>
      <c r="O40" s="39"/>
      <c r="P40" s="39"/>
      <c r="Q40" s="39"/>
      <c r="R40" s="39"/>
      <c r="S40" s="39"/>
    </row>
    <row r="41" spans="1:19" ht="9" customHeight="1">
      <c r="A41" s="10">
        <f>ROUNDDOWN(B37*(1+B39),0)</f>
        <v>1225</v>
      </c>
      <c r="B41" s="36"/>
      <c r="D41" s="39"/>
      <c r="E41" s="39"/>
      <c r="F41" s="39"/>
      <c r="G41" s="39"/>
      <c r="H41" s="39"/>
      <c r="I41" s="39"/>
      <c r="J41" s="39"/>
      <c r="K41" s="39"/>
      <c r="L41" s="39"/>
      <c r="M41" s="39"/>
      <c r="N41" s="39"/>
      <c r="O41" s="39"/>
      <c r="P41" s="39"/>
      <c r="Q41" s="39"/>
      <c r="R41" s="39"/>
      <c r="S41" s="39"/>
    </row>
    <row r="42" spans="1:19" ht="9" customHeight="1">
      <c r="A42" s="36" t="s">
        <v>382</v>
      </c>
      <c r="B42" s="36">
        <v>0.25</v>
      </c>
      <c r="D42" s="39"/>
      <c r="E42" s="39"/>
      <c r="F42" s="39"/>
      <c r="G42" s="39"/>
      <c r="H42" s="39"/>
      <c r="I42" s="39"/>
      <c r="J42" s="39"/>
      <c r="K42" s="39"/>
      <c r="L42" s="39"/>
      <c r="M42" s="39"/>
      <c r="N42" s="39"/>
      <c r="O42" s="39"/>
      <c r="P42" s="39"/>
      <c r="Q42" s="39"/>
      <c r="R42" s="39"/>
      <c r="S42" s="39"/>
    </row>
    <row r="43" spans="1:19" ht="9" customHeight="1">
      <c r="A43" s="36" t="s">
        <v>383</v>
      </c>
      <c r="B43" s="36">
        <v>0.2</v>
      </c>
      <c r="D43" s="55" t="s">
        <v>395</v>
      </c>
      <c r="E43" s="56"/>
      <c r="F43" s="57">
        <f>((L3*(L30*L31+(1-L30)*1)*I27*J29*F32-A29)*F37)</f>
        <v>70519.787316000002</v>
      </c>
      <c r="G43" s="57"/>
      <c r="J43" s="48"/>
      <c r="K43" s="48"/>
    </row>
    <row r="44" spans="1:19" ht="9" customHeight="1">
      <c r="A44" s="36" t="s">
        <v>384</v>
      </c>
      <c r="B44" s="36">
        <v>0.15</v>
      </c>
      <c r="D44" s="56" t="s">
        <v>396</v>
      </c>
      <c r="E44" s="56"/>
      <c r="F44" s="57">
        <f>((L3*(L30*L31+(1-L30)*1)*I27*J29*F32*1.5-A29)*F37)</f>
        <v>105779.680974</v>
      </c>
      <c r="G44" s="57"/>
      <c r="J44" s="48"/>
      <c r="K44" s="48"/>
    </row>
    <row r="45" spans="1:19" ht="9" customHeight="1">
      <c r="A45" s="36" t="s">
        <v>385</v>
      </c>
      <c r="B45" s="36">
        <v>0.1</v>
      </c>
      <c r="D45" s="57" t="s">
        <v>397</v>
      </c>
      <c r="E45" s="57"/>
      <c r="F45" s="57">
        <f>A25/10</f>
        <v>2500000</v>
      </c>
      <c r="G45" s="57"/>
      <c r="J45" s="37"/>
    </row>
    <row r="46" spans="1:19" ht="9" customHeight="1">
      <c r="A46" s="36" t="s">
        <v>386</v>
      </c>
      <c r="B46" s="36">
        <v>0.05</v>
      </c>
      <c r="D46" s="57" t="s">
        <v>401</v>
      </c>
      <c r="E46" s="57"/>
      <c r="F46" s="57">
        <f>F45/F43</f>
        <v>35.451042822881334</v>
      </c>
      <c r="G46" s="57"/>
      <c r="J46" s="37"/>
    </row>
    <row r="47" spans="1:19" ht="9" customHeight="1">
      <c r="D47" s="57" t="s">
        <v>398</v>
      </c>
      <c r="E47" s="57"/>
      <c r="F47" s="57">
        <f>F45/F44</f>
        <v>23.634028548587555</v>
      </c>
      <c r="G47" s="57"/>
    </row>
    <row r="48" spans="1:19" ht="9" customHeight="1">
      <c r="D48" s="57" t="s">
        <v>399</v>
      </c>
      <c r="E48" s="57"/>
      <c r="F48" s="57">
        <f>F45-F44*A32</f>
        <v>807525.10441599996</v>
      </c>
      <c r="G48" s="57"/>
      <c r="K48" s="37"/>
    </row>
    <row r="49" spans="4:11" ht="9" customHeight="1">
      <c r="D49" s="57" t="s">
        <v>400</v>
      </c>
      <c r="E49" s="57"/>
      <c r="F49" s="57">
        <f>F48/F43</f>
        <v>11.451042822881334</v>
      </c>
      <c r="G49" s="57"/>
      <c r="J49" s="37"/>
      <c r="K49" s="37"/>
    </row>
    <row r="50" spans="4:11" ht="9" customHeight="1">
      <c r="D50" s="57" t="s">
        <v>403</v>
      </c>
      <c r="E50" s="57"/>
      <c r="F50" s="57">
        <f>IF(F47&gt;A32,A32+F49,F47)</f>
        <v>27.451042822881334</v>
      </c>
      <c r="G50" s="57"/>
    </row>
    <row r="51" spans="4:11" ht="9" customHeight="1">
      <c r="D51" s="57" t="s">
        <v>402</v>
      </c>
      <c r="E51" s="57"/>
      <c r="F51" s="57">
        <f>F46+F50*9</f>
        <v>282.51042822881334</v>
      </c>
      <c r="G51" s="57"/>
    </row>
    <row r="52" spans="4:11" ht="9" customHeight="1">
      <c r="D52" s="57" t="s">
        <v>404</v>
      </c>
      <c r="E52" s="57"/>
      <c r="F52" s="57">
        <f>IF(F47&gt;A32,A32*9,F47*9)</f>
        <v>144</v>
      </c>
      <c r="G52" s="57"/>
    </row>
    <row r="53" spans="4:11" ht="9" customHeight="1">
      <c r="D53" s="57" t="s">
        <v>407</v>
      </c>
      <c r="E53" s="57"/>
      <c r="F53" s="57"/>
      <c r="G53" s="57"/>
    </row>
  </sheetData>
  <sheetProtection sheet="1" objects="1" scenarios="1" selectLockedCells="1"/>
  <mergeCells count="62">
    <mergeCell ref="D53:G53"/>
    <mergeCell ref="J43:K43"/>
    <mergeCell ref="J44:K44"/>
    <mergeCell ref="A17:B17"/>
    <mergeCell ref="A15:B15"/>
    <mergeCell ref="A16:B16"/>
    <mergeCell ref="A18:B18"/>
    <mergeCell ref="A19:B19"/>
    <mergeCell ref="A20:B20"/>
    <mergeCell ref="D51:E51"/>
    <mergeCell ref="F51:G51"/>
    <mergeCell ref="D50:E50"/>
    <mergeCell ref="F50:G50"/>
    <mergeCell ref="D52:E52"/>
    <mergeCell ref="F52:G52"/>
    <mergeCell ref="D48:E48"/>
    <mergeCell ref="F48:G48"/>
    <mergeCell ref="D49:E49"/>
    <mergeCell ref="F49:G49"/>
    <mergeCell ref="D46:E46"/>
    <mergeCell ref="F46:G46"/>
    <mergeCell ref="F43:G43"/>
    <mergeCell ref="F44:G44"/>
    <mergeCell ref="F45:G45"/>
    <mergeCell ref="D47:E47"/>
    <mergeCell ref="F47:G47"/>
    <mergeCell ref="A31:B31"/>
    <mergeCell ref="A32:B32"/>
    <mergeCell ref="D43:E43"/>
    <mergeCell ref="D44:E44"/>
    <mergeCell ref="D45:E45"/>
    <mergeCell ref="Q1:S1"/>
    <mergeCell ref="D40:S42"/>
    <mergeCell ref="J30:K30"/>
    <mergeCell ref="J31:K31"/>
    <mergeCell ref="J33:K33"/>
    <mergeCell ref="J34:K34"/>
    <mergeCell ref="J36:K36"/>
    <mergeCell ref="J37:K37"/>
    <mergeCell ref="J38:P38"/>
    <mergeCell ref="M34:P34"/>
    <mergeCell ref="F30:G30"/>
    <mergeCell ref="F31:G31"/>
    <mergeCell ref="F36:G36"/>
    <mergeCell ref="G7:I7"/>
    <mergeCell ref="G8:I8"/>
    <mergeCell ref="G9:I9"/>
    <mergeCell ref="M35:P35"/>
    <mergeCell ref="J35:K35"/>
    <mergeCell ref="C38:F38"/>
    <mergeCell ref="P22:Q22"/>
    <mergeCell ref="D25:E25"/>
    <mergeCell ref="D26:E26"/>
    <mergeCell ref="L33:M33"/>
    <mergeCell ref="F32:G32"/>
    <mergeCell ref="O7:P7"/>
    <mergeCell ref="O8:P8"/>
    <mergeCell ref="O9:P9"/>
    <mergeCell ref="A13:B13"/>
    <mergeCell ref="A14:B14"/>
    <mergeCell ref="A11:B11"/>
    <mergeCell ref="A12:B12"/>
  </mergeCells>
  <phoneticPr fontId="1"/>
  <dataValidations count="20">
    <dataValidation type="list" allowBlank="1" showInputMessage="1" showErrorMessage="1" sqref="E11 E34">
      <formula1>武器!$Q$22:$Q$23</formula1>
    </dataValidation>
    <dataValidation type="list" allowBlank="1" showInputMessage="1" showErrorMessage="1" sqref="E13">
      <formula1>防具!$K$79:$K$93</formula1>
    </dataValidation>
    <dataValidation type="list" allowBlank="1" showInputMessage="1" showErrorMessage="1" sqref="E18">
      <formula1>防具!$K$64:$K$78</formula1>
    </dataValidation>
    <dataValidation type="list" allowBlank="1" showInputMessage="1" showErrorMessage="1" sqref="E14">
      <formula1>防具!$K$49:$K$63</formula1>
    </dataValidation>
    <dataValidation type="list" allowBlank="1" showInputMessage="1" showErrorMessage="1" sqref="E19">
      <formula1>防具!$K$38:$K$47</formula1>
    </dataValidation>
    <dataValidation type="list" allowBlank="1" showInputMessage="1" showErrorMessage="1" sqref="E17">
      <formula1>防具!$K$33:$K$37</formula1>
    </dataValidation>
    <dataValidation type="list" allowBlank="1" showInputMessage="1" showErrorMessage="1" sqref="E16">
      <formula1>防具!$K$16:$K$32</formula1>
    </dataValidation>
    <dataValidation type="list" allowBlank="1" showInputMessage="1" showErrorMessage="1" sqref="E15">
      <formula1>防具!$K$2:$K$15</formula1>
    </dataValidation>
    <dataValidation type="list" allowBlank="1" showInputMessage="1" showErrorMessage="1" sqref="D22">
      <formula1>防具!$Y$2:$Y$6</formula1>
    </dataValidation>
    <dataValidation type="list" allowBlank="1" showInputMessage="1" showErrorMessage="1" sqref="D26">
      <formula1>防具!$N$32:$N$38</formula1>
    </dataValidation>
    <dataValidation type="list" allowBlank="1" showInputMessage="1" showErrorMessage="1" sqref="D25">
      <formula1>防具!$N$2:$N$31</formula1>
    </dataValidation>
    <dataValidation type="list" allowBlank="1" showInputMessage="1" showErrorMessage="1" sqref="E31">
      <formula1>武器!$Q$13:$Q$15</formula1>
    </dataValidation>
    <dataValidation type="list" allowBlank="1" showInputMessage="1" showErrorMessage="1" sqref="E29">
      <formula1>テクニック!$A$8:$A$14</formula1>
    </dataValidation>
    <dataValidation type="list" allowBlank="1" showInputMessage="1" showErrorMessage="1" sqref="E28">
      <formula1>テクニック!$A$4:$A$7</formula1>
    </dataValidation>
    <dataValidation type="list" allowBlank="1" showInputMessage="1" showErrorMessage="1" sqref="E27">
      <formula1>テクニック!$A$2:$A$3</formula1>
    </dataValidation>
    <dataValidation type="list" allowBlank="1" showInputMessage="1" showErrorMessage="1" sqref="B1">
      <formula1>武器!$Q$10:$Q$11</formula1>
    </dataValidation>
    <dataValidation type="list" allowBlank="1" showInputMessage="1" showErrorMessage="1" sqref="B2">
      <formula1>ポイント!$A$2:$A$43</formula1>
    </dataValidation>
    <dataValidation type="list" allowBlank="1" showInputMessage="1" showErrorMessage="1" sqref="D3">
      <formula1>武器!$A$2:$A$29</formula1>
    </dataValidation>
    <dataValidation type="list" allowBlank="1" showInputMessage="1" showErrorMessage="1" sqref="G3:I3 G13:I19">
      <formula1>武器!$Q$2:$Q$7</formula1>
    </dataValidation>
    <dataValidation type="list" allowBlank="1" showInputMessage="1" showErrorMessage="1" sqref="A39">
      <formula1>ステ計算型!$A$42:$A$46</formula1>
    </dataValidation>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dimension ref="A1:Y43"/>
  <sheetViews>
    <sheetView showRowColHeaders="0" workbookViewId="0">
      <selection activeCell="J18" sqref="J18:Y20"/>
    </sheetView>
  </sheetViews>
  <sheetFormatPr defaultColWidth="4.75" defaultRowHeight="8.25" customHeight="1"/>
  <cols>
    <col min="1" max="1" width="3" style="1" customWidth="1"/>
    <col min="2" max="16384" width="4.75" style="1"/>
  </cols>
  <sheetData>
    <row r="1" spans="1:4" ht="8.25" customHeight="1">
      <c r="A1" s="1" t="s">
        <v>15</v>
      </c>
      <c r="B1" s="1" t="s">
        <v>21</v>
      </c>
      <c r="C1" s="1" t="s">
        <v>20</v>
      </c>
      <c r="D1" s="1" t="s">
        <v>19</v>
      </c>
    </row>
    <row r="2" spans="1:4" ht="8.25" customHeight="1">
      <c r="A2" s="1">
        <v>70</v>
      </c>
      <c r="B2" s="1">
        <v>360</v>
      </c>
      <c r="C2" s="1">
        <v>30</v>
      </c>
      <c r="D2" s="1">
        <f t="shared" ref="D2:D43" si="0">B2+C2</f>
        <v>390</v>
      </c>
    </row>
    <row r="3" spans="1:4" ht="8.25" customHeight="1">
      <c r="A3" s="1">
        <v>71</v>
      </c>
      <c r="B3" s="1">
        <v>370</v>
      </c>
      <c r="C3" s="1">
        <v>30</v>
      </c>
      <c r="D3" s="1">
        <f t="shared" si="0"/>
        <v>400</v>
      </c>
    </row>
    <row r="4" spans="1:4" ht="8.25" customHeight="1">
      <c r="A4" s="1">
        <v>72</v>
      </c>
      <c r="B4" s="1">
        <v>375</v>
      </c>
      <c r="C4" s="1">
        <v>30</v>
      </c>
      <c r="D4" s="1">
        <f t="shared" si="0"/>
        <v>405</v>
      </c>
    </row>
    <row r="5" spans="1:4" ht="8.25" customHeight="1">
      <c r="A5" s="1">
        <v>73</v>
      </c>
      <c r="B5" s="1">
        <v>380</v>
      </c>
      <c r="C5" s="1">
        <v>30</v>
      </c>
      <c r="D5" s="1">
        <f t="shared" si="0"/>
        <v>410</v>
      </c>
    </row>
    <row r="6" spans="1:4" ht="8.25" customHeight="1">
      <c r="A6" s="1">
        <v>74</v>
      </c>
      <c r="B6" s="1">
        <v>385</v>
      </c>
      <c r="C6" s="1">
        <v>30</v>
      </c>
      <c r="D6" s="1">
        <f t="shared" si="0"/>
        <v>415</v>
      </c>
    </row>
    <row r="7" spans="1:4" ht="8.25" customHeight="1">
      <c r="A7" s="1">
        <v>75</v>
      </c>
      <c r="B7" s="1">
        <v>390</v>
      </c>
      <c r="C7" s="1">
        <v>30</v>
      </c>
      <c r="D7" s="1">
        <f t="shared" si="0"/>
        <v>420</v>
      </c>
    </row>
    <row r="8" spans="1:4" ht="8.25" customHeight="1">
      <c r="A8" s="1">
        <v>76</v>
      </c>
      <c r="B8" s="1">
        <v>395</v>
      </c>
      <c r="C8" s="1">
        <v>30</v>
      </c>
      <c r="D8" s="1">
        <f t="shared" si="0"/>
        <v>425</v>
      </c>
    </row>
    <row r="9" spans="1:4" ht="8.25" customHeight="1">
      <c r="A9" s="1">
        <v>77</v>
      </c>
      <c r="B9" s="1">
        <v>400</v>
      </c>
      <c r="C9" s="1">
        <v>30</v>
      </c>
      <c r="D9" s="1">
        <f t="shared" si="0"/>
        <v>430</v>
      </c>
    </row>
    <row r="10" spans="1:4" ht="8.25" customHeight="1">
      <c r="A10" s="1">
        <v>78</v>
      </c>
      <c r="B10" s="1">
        <v>405</v>
      </c>
      <c r="C10" s="1">
        <v>30</v>
      </c>
      <c r="D10" s="1">
        <f t="shared" si="0"/>
        <v>435</v>
      </c>
    </row>
    <row r="11" spans="1:4" ht="8.25" customHeight="1">
      <c r="A11" s="1">
        <v>79</v>
      </c>
      <c r="B11" s="1">
        <v>410</v>
      </c>
      <c r="C11" s="1">
        <v>30</v>
      </c>
      <c r="D11" s="1">
        <f t="shared" si="0"/>
        <v>440</v>
      </c>
    </row>
    <row r="12" spans="1:4" ht="8.25" customHeight="1">
      <c r="A12" s="1">
        <v>80</v>
      </c>
      <c r="B12" s="1">
        <v>415</v>
      </c>
      <c r="C12" s="1">
        <v>30</v>
      </c>
      <c r="D12" s="1">
        <f t="shared" si="0"/>
        <v>445</v>
      </c>
    </row>
    <row r="13" spans="1:4" ht="8.25" customHeight="1">
      <c r="A13" s="1">
        <v>81</v>
      </c>
      <c r="B13" s="1">
        <v>426</v>
      </c>
      <c r="C13" s="1">
        <v>30</v>
      </c>
      <c r="D13" s="1">
        <f t="shared" si="0"/>
        <v>456</v>
      </c>
    </row>
    <row r="14" spans="1:4" ht="8.25" customHeight="1">
      <c r="A14" s="1">
        <v>82</v>
      </c>
      <c r="B14" s="1">
        <v>431</v>
      </c>
      <c r="C14" s="1">
        <v>30</v>
      </c>
      <c r="D14" s="1">
        <f t="shared" si="0"/>
        <v>461</v>
      </c>
    </row>
    <row r="15" spans="1:4" ht="8.25" customHeight="1">
      <c r="A15" s="1">
        <v>83</v>
      </c>
      <c r="B15" s="1">
        <v>436</v>
      </c>
      <c r="C15" s="1">
        <v>30</v>
      </c>
      <c r="D15" s="1">
        <f t="shared" si="0"/>
        <v>466</v>
      </c>
    </row>
    <row r="16" spans="1:4" ht="8.25" customHeight="1">
      <c r="A16" s="1">
        <v>84</v>
      </c>
      <c r="B16" s="1">
        <v>441</v>
      </c>
      <c r="C16" s="1">
        <v>30</v>
      </c>
      <c r="D16" s="1">
        <f t="shared" si="0"/>
        <v>471</v>
      </c>
    </row>
    <row r="17" spans="1:25" ht="8.25" customHeight="1">
      <c r="A17" s="1">
        <v>85</v>
      </c>
      <c r="B17" s="1">
        <v>446</v>
      </c>
      <c r="C17" s="1">
        <v>30</v>
      </c>
      <c r="D17" s="1">
        <f t="shared" si="0"/>
        <v>476</v>
      </c>
    </row>
    <row r="18" spans="1:25" ht="8.25" customHeight="1">
      <c r="A18" s="1">
        <v>86</v>
      </c>
      <c r="B18" s="1">
        <v>451</v>
      </c>
      <c r="C18" s="1">
        <v>30</v>
      </c>
      <c r="D18" s="1">
        <f t="shared" si="0"/>
        <v>481</v>
      </c>
      <c r="J18" s="49" t="s">
        <v>239</v>
      </c>
      <c r="K18" s="49"/>
      <c r="L18" s="49"/>
      <c r="M18" s="49"/>
      <c r="N18" s="49"/>
      <c r="O18" s="49"/>
      <c r="P18" s="49"/>
      <c r="Q18" s="49"/>
      <c r="R18" s="49"/>
      <c r="S18" s="49"/>
      <c r="T18" s="49"/>
      <c r="U18" s="49"/>
      <c r="V18" s="49"/>
      <c r="W18" s="49"/>
      <c r="X18" s="49"/>
      <c r="Y18" s="49"/>
    </row>
    <row r="19" spans="1:25" ht="8.25" customHeight="1">
      <c r="A19" s="1">
        <v>87</v>
      </c>
      <c r="B19" s="1">
        <v>456</v>
      </c>
      <c r="C19" s="1">
        <v>30</v>
      </c>
      <c r="D19" s="1">
        <f t="shared" si="0"/>
        <v>486</v>
      </c>
      <c r="J19" s="49"/>
      <c r="K19" s="49"/>
      <c r="L19" s="49"/>
      <c r="M19" s="49"/>
      <c r="N19" s="49"/>
      <c r="O19" s="49"/>
      <c r="P19" s="49"/>
      <c r="Q19" s="49"/>
      <c r="R19" s="49"/>
      <c r="S19" s="49"/>
      <c r="T19" s="49"/>
      <c r="U19" s="49"/>
      <c r="V19" s="49"/>
      <c r="W19" s="49"/>
      <c r="X19" s="49"/>
      <c r="Y19" s="49"/>
    </row>
    <row r="20" spans="1:25" ht="8.25" customHeight="1">
      <c r="A20" s="1">
        <v>88</v>
      </c>
      <c r="B20" s="1">
        <v>461</v>
      </c>
      <c r="C20" s="1">
        <v>30</v>
      </c>
      <c r="D20" s="1">
        <f t="shared" si="0"/>
        <v>491</v>
      </c>
      <c r="J20" s="49"/>
      <c r="K20" s="49"/>
      <c r="L20" s="49"/>
      <c r="M20" s="49"/>
      <c r="N20" s="49"/>
      <c r="O20" s="49"/>
      <c r="P20" s="49"/>
      <c r="Q20" s="49"/>
      <c r="R20" s="49"/>
      <c r="S20" s="49"/>
      <c r="T20" s="49"/>
      <c r="U20" s="49"/>
      <c r="V20" s="49"/>
      <c r="W20" s="49"/>
      <c r="X20" s="49"/>
      <c r="Y20" s="49"/>
    </row>
    <row r="21" spans="1:25" ht="8.25" customHeight="1">
      <c r="A21" s="1">
        <v>89</v>
      </c>
      <c r="B21" s="1">
        <v>466</v>
      </c>
      <c r="C21" s="1">
        <v>30</v>
      </c>
      <c r="D21" s="1">
        <f t="shared" si="0"/>
        <v>496</v>
      </c>
    </row>
    <row r="22" spans="1:25" ht="8.25" customHeight="1">
      <c r="A22" s="1">
        <v>90</v>
      </c>
      <c r="B22" s="1">
        <v>471</v>
      </c>
      <c r="C22" s="1">
        <v>30</v>
      </c>
      <c r="D22" s="1">
        <f t="shared" si="0"/>
        <v>501</v>
      </c>
    </row>
    <row r="23" spans="1:25" ht="8.25" customHeight="1">
      <c r="A23" s="1">
        <v>91</v>
      </c>
      <c r="B23" s="1">
        <v>483</v>
      </c>
      <c r="C23" s="1">
        <v>30</v>
      </c>
      <c r="D23" s="1">
        <f t="shared" si="0"/>
        <v>513</v>
      </c>
    </row>
    <row r="24" spans="1:25" ht="8.25" customHeight="1">
      <c r="A24" s="1">
        <v>92</v>
      </c>
      <c r="B24" s="1">
        <v>488</v>
      </c>
      <c r="C24" s="1">
        <v>30</v>
      </c>
      <c r="D24" s="1">
        <f t="shared" si="0"/>
        <v>518</v>
      </c>
    </row>
    <row r="25" spans="1:25" ht="8.25" customHeight="1">
      <c r="A25" s="1">
        <v>93</v>
      </c>
      <c r="B25" s="1">
        <v>493</v>
      </c>
      <c r="C25" s="1">
        <v>30</v>
      </c>
      <c r="D25" s="1">
        <f t="shared" si="0"/>
        <v>523</v>
      </c>
    </row>
    <row r="26" spans="1:25" ht="8.25" customHeight="1">
      <c r="A26" s="1">
        <v>94</v>
      </c>
      <c r="B26" s="1">
        <v>498</v>
      </c>
      <c r="C26" s="1">
        <v>30</v>
      </c>
      <c r="D26" s="1">
        <f t="shared" si="0"/>
        <v>528</v>
      </c>
    </row>
    <row r="27" spans="1:25" ht="8.25" customHeight="1">
      <c r="A27" s="1">
        <v>95</v>
      </c>
      <c r="B27" s="1">
        <v>503</v>
      </c>
      <c r="C27" s="1">
        <v>30</v>
      </c>
      <c r="D27" s="1">
        <f t="shared" si="0"/>
        <v>533</v>
      </c>
    </row>
    <row r="28" spans="1:25" ht="8.25" customHeight="1">
      <c r="A28" s="1">
        <v>96</v>
      </c>
      <c r="B28" s="1">
        <v>508</v>
      </c>
      <c r="C28" s="1">
        <v>30</v>
      </c>
      <c r="D28" s="1">
        <f t="shared" si="0"/>
        <v>538</v>
      </c>
    </row>
    <row r="29" spans="1:25" ht="8.25" customHeight="1">
      <c r="A29" s="1">
        <v>97</v>
      </c>
      <c r="B29" s="1">
        <v>513</v>
      </c>
      <c r="C29" s="1">
        <v>30</v>
      </c>
      <c r="D29" s="1">
        <f t="shared" si="0"/>
        <v>543</v>
      </c>
    </row>
    <row r="30" spans="1:25" ht="8.25" customHeight="1">
      <c r="A30" s="1">
        <v>98</v>
      </c>
      <c r="B30" s="1">
        <v>518</v>
      </c>
      <c r="C30" s="1">
        <v>30</v>
      </c>
      <c r="D30" s="1">
        <f t="shared" si="0"/>
        <v>548</v>
      </c>
    </row>
    <row r="31" spans="1:25" ht="8.25" customHeight="1">
      <c r="A31" s="1">
        <v>99</v>
      </c>
      <c r="B31" s="1">
        <v>523</v>
      </c>
      <c r="C31" s="1">
        <v>30</v>
      </c>
      <c r="D31" s="1">
        <f t="shared" si="0"/>
        <v>553</v>
      </c>
    </row>
    <row r="32" spans="1:25" ht="8.25" customHeight="1">
      <c r="A32" s="1">
        <v>100</v>
      </c>
      <c r="B32" s="1">
        <v>528</v>
      </c>
      <c r="C32" s="1">
        <v>30</v>
      </c>
      <c r="D32" s="1">
        <f t="shared" si="0"/>
        <v>558</v>
      </c>
    </row>
    <row r="33" spans="1:4" ht="8.25" customHeight="1">
      <c r="A33" s="1">
        <v>101</v>
      </c>
      <c r="B33" s="1">
        <v>541</v>
      </c>
      <c r="C33" s="1">
        <v>30</v>
      </c>
      <c r="D33" s="1">
        <f t="shared" si="0"/>
        <v>571</v>
      </c>
    </row>
    <row r="34" spans="1:4" ht="8.25" customHeight="1">
      <c r="A34" s="1">
        <v>102</v>
      </c>
      <c r="B34" s="1">
        <v>546</v>
      </c>
      <c r="C34" s="1">
        <v>30</v>
      </c>
      <c r="D34" s="1">
        <f t="shared" si="0"/>
        <v>576</v>
      </c>
    </row>
    <row r="35" spans="1:4" ht="8.25" customHeight="1">
      <c r="A35" s="1">
        <v>103</v>
      </c>
      <c r="B35" s="1">
        <v>551</v>
      </c>
      <c r="C35" s="1">
        <v>30</v>
      </c>
      <c r="D35" s="1">
        <f t="shared" si="0"/>
        <v>581</v>
      </c>
    </row>
    <row r="36" spans="1:4" ht="8.25" customHeight="1">
      <c r="A36" s="1">
        <v>104</v>
      </c>
      <c r="B36" s="1">
        <v>556</v>
      </c>
      <c r="C36" s="1">
        <v>30</v>
      </c>
      <c r="D36" s="1">
        <f t="shared" si="0"/>
        <v>586</v>
      </c>
    </row>
    <row r="37" spans="1:4" ht="8.25" customHeight="1">
      <c r="A37" s="1">
        <v>105</v>
      </c>
      <c r="B37" s="1">
        <v>561</v>
      </c>
      <c r="C37" s="1">
        <v>30</v>
      </c>
      <c r="D37" s="1">
        <f t="shared" si="0"/>
        <v>591</v>
      </c>
    </row>
    <row r="38" spans="1:4" ht="8.25" customHeight="1">
      <c r="A38" s="1">
        <v>106</v>
      </c>
      <c r="B38" s="1">
        <v>566</v>
      </c>
      <c r="C38" s="1">
        <v>30</v>
      </c>
      <c r="D38" s="1">
        <f t="shared" si="0"/>
        <v>596</v>
      </c>
    </row>
    <row r="39" spans="1:4" ht="8.25" customHeight="1">
      <c r="A39" s="1">
        <v>107</v>
      </c>
      <c r="B39" s="1">
        <v>571</v>
      </c>
      <c r="C39" s="1">
        <v>30</v>
      </c>
      <c r="D39" s="1">
        <f t="shared" si="0"/>
        <v>601</v>
      </c>
    </row>
    <row r="40" spans="1:4" ht="8.25" customHeight="1">
      <c r="A40" s="1">
        <v>108</v>
      </c>
      <c r="B40" s="1">
        <v>576</v>
      </c>
      <c r="C40" s="1">
        <v>30</v>
      </c>
      <c r="D40" s="1">
        <f t="shared" si="0"/>
        <v>606</v>
      </c>
    </row>
    <row r="41" spans="1:4" ht="8.25" customHeight="1">
      <c r="A41" s="1">
        <v>109</v>
      </c>
      <c r="B41" s="1">
        <v>581</v>
      </c>
      <c r="C41" s="1">
        <v>30</v>
      </c>
      <c r="D41" s="1">
        <f t="shared" si="0"/>
        <v>611</v>
      </c>
    </row>
    <row r="42" spans="1:4" ht="8.25" customHeight="1">
      <c r="A42" s="1">
        <v>110</v>
      </c>
      <c r="B42" s="1">
        <v>586</v>
      </c>
      <c r="C42" s="1">
        <v>30</v>
      </c>
      <c r="D42" s="1">
        <f t="shared" si="0"/>
        <v>616</v>
      </c>
    </row>
    <row r="43" spans="1:4" ht="8.25" customHeight="1">
      <c r="A43" s="1">
        <v>111</v>
      </c>
      <c r="B43" s="1">
        <v>600</v>
      </c>
      <c r="C43" s="1">
        <v>30</v>
      </c>
      <c r="D43" s="1">
        <f t="shared" si="0"/>
        <v>630</v>
      </c>
    </row>
  </sheetData>
  <sheetProtection sheet="1" objects="1" scenarios="1" selectLockedCells="1" selectUnlockedCells="1"/>
  <mergeCells count="1">
    <mergeCell ref="J18:Y20"/>
  </mergeCells>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dimension ref="A1:S39"/>
  <sheetViews>
    <sheetView showRowColHeaders="0" workbookViewId="0">
      <pane ySplit="1" topLeftCell="A2" activePane="bottomLeft" state="frozen"/>
      <selection pane="bottomLeft" activeCell="Q22" sqref="Q22:R23"/>
    </sheetView>
  </sheetViews>
  <sheetFormatPr defaultRowHeight="8.25" customHeight="1"/>
  <cols>
    <col min="1" max="1" width="8" style="1" customWidth="1"/>
    <col min="2" max="2" width="5.875" style="1" customWidth="1"/>
    <col min="3" max="3" width="3.125" style="1" customWidth="1"/>
    <col min="4" max="4" width="4.125" style="1" customWidth="1"/>
    <col min="5" max="5" width="3.125" style="1" customWidth="1"/>
    <col min="6" max="6" width="4.375" style="1" customWidth="1"/>
    <col min="7" max="7" width="2.875" style="1" customWidth="1"/>
    <col min="8" max="8" width="3" style="1" customWidth="1"/>
    <col min="9" max="9" width="4.125" style="1" customWidth="1"/>
    <col min="10" max="11" width="3" style="1" customWidth="1"/>
    <col min="12" max="13" width="5.875" style="1" customWidth="1"/>
    <col min="14" max="14" width="6.75" style="1" customWidth="1"/>
    <col min="15" max="16384" width="9" style="1"/>
  </cols>
  <sheetData>
    <row r="1" spans="1:19" ht="8.25" customHeight="1">
      <c r="A1" s="1" t="s">
        <v>33</v>
      </c>
      <c r="B1" s="1" t="s">
        <v>34</v>
      </c>
      <c r="C1" s="1" t="s">
        <v>38</v>
      </c>
      <c r="D1" s="1" t="s">
        <v>59</v>
      </c>
      <c r="E1" s="1" t="s">
        <v>37</v>
      </c>
      <c r="F1" s="1" t="s">
        <v>0</v>
      </c>
      <c r="G1" s="1" t="s">
        <v>3</v>
      </c>
      <c r="H1" s="1" t="s">
        <v>35</v>
      </c>
      <c r="I1" s="1" t="s">
        <v>36</v>
      </c>
      <c r="J1" s="1" t="s">
        <v>50</v>
      </c>
      <c r="K1" s="1" t="s">
        <v>63</v>
      </c>
      <c r="L1" s="1" t="s">
        <v>62</v>
      </c>
      <c r="M1" s="1" t="s">
        <v>226</v>
      </c>
      <c r="N1" s="1" t="s">
        <v>227</v>
      </c>
      <c r="O1" s="1" t="s">
        <v>405</v>
      </c>
    </row>
    <row r="2" spans="1:19" ht="8.25" customHeight="1">
      <c r="A2" s="1" t="s">
        <v>27</v>
      </c>
      <c r="B2" s="1" t="s">
        <v>40</v>
      </c>
      <c r="C2" s="1" t="s">
        <v>57</v>
      </c>
      <c r="D2" s="1" t="s">
        <v>60</v>
      </c>
      <c r="E2" s="1">
        <v>8</v>
      </c>
      <c r="F2" s="1">
        <v>2608</v>
      </c>
      <c r="G2" s="1">
        <v>22</v>
      </c>
      <c r="H2" s="1">
        <v>64</v>
      </c>
      <c r="I2" s="1">
        <v>250</v>
      </c>
      <c r="J2" s="1">
        <v>160</v>
      </c>
      <c r="K2" s="1">
        <v>70</v>
      </c>
      <c r="L2" s="1">
        <v>21</v>
      </c>
      <c r="M2" s="1">
        <v>1</v>
      </c>
      <c r="N2" s="1">
        <v>1</v>
      </c>
      <c r="O2" s="1">
        <v>1</v>
      </c>
      <c r="Q2" s="1" t="s">
        <v>82</v>
      </c>
      <c r="R2" s="1">
        <v>1</v>
      </c>
      <c r="S2" s="1">
        <v>1</v>
      </c>
    </row>
    <row r="3" spans="1:19" ht="8.25" customHeight="1">
      <c r="A3" s="1" t="s">
        <v>31</v>
      </c>
      <c r="B3" s="1" t="s">
        <v>40</v>
      </c>
      <c r="C3" s="1" t="s">
        <v>57</v>
      </c>
      <c r="D3" s="1" t="s">
        <v>60</v>
      </c>
      <c r="E3" s="1">
        <v>9</v>
      </c>
      <c r="F3" s="1">
        <v>3362</v>
      </c>
      <c r="G3" s="1">
        <v>22</v>
      </c>
      <c r="H3" s="1">
        <v>63</v>
      </c>
      <c r="I3" s="1">
        <v>237</v>
      </c>
      <c r="J3" s="1">
        <v>195</v>
      </c>
      <c r="K3" s="1">
        <v>66</v>
      </c>
      <c r="L3" s="1">
        <v>30</v>
      </c>
      <c r="M3" s="1">
        <v>1</v>
      </c>
      <c r="N3" s="1">
        <v>1</v>
      </c>
      <c r="O3" s="1">
        <v>1</v>
      </c>
      <c r="Q3" s="1" t="s">
        <v>83</v>
      </c>
      <c r="R3" s="1">
        <v>1.1000000000000001</v>
      </c>
      <c r="S3" s="1">
        <v>0.9</v>
      </c>
    </row>
    <row r="4" spans="1:19" ht="8.25" customHeight="1">
      <c r="A4" s="1" t="s">
        <v>26</v>
      </c>
      <c r="B4" s="1" t="s">
        <v>40</v>
      </c>
      <c r="C4" s="1" t="s">
        <v>57</v>
      </c>
      <c r="D4" s="1" t="s">
        <v>60</v>
      </c>
      <c r="E4" s="1">
        <v>10</v>
      </c>
      <c r="F4" s="1">
        <v>4135</v>
      </c>
      <c r="G4" s="1">
        <v>22</v>
      </c>
      <c r="H4" s="1">
        <v>62</v>
      </c>
      <c r="I4" s="1">
        <v>250</v>
      </c>
      <c r="J4" s="1">
        <v>260</v>
      </c>
      <c r="K4" s="1">
        <v>60</v>
      </c>
      <c r="L4" s="1">
        <v>45</v>
      </c>
      <c r="M4" s="1">
        <v>1</v>
      </c>
      <c r="N4" s="1">
        <v>1</v>
      </c>
      <c r="O4" s="1">
        <v>1</v>
      </c>
      <c r="Q4" s="1" t="s">
        <v>84</v>
      </c>
      <c r="R4" s="1">
        <v>1.3</v>
      </c>
      <c r="S4" s="1">
        <v>0.7</v>
      </c>
    </row>
    <row r="5" spans="1:19" ht="8.25" customHeight="1">
      <c r="A5" s="1" t="s">
        <v>42</v>
      </c>
      <c r="B5" s="1" t="s">
        <v>40</v>
      </c>
      <c r="C5" s="1" t="s">
        <v>57</v>
      </c>
      <c r="D5" s="1" t="s">
        <v>60</v>
      </c>
      <c r="E5" s="1">
        <v>11</v>
      </c>
      <c r="F5" s="1">
        <v>4962</v>
      </c>
      <c r="G5" s="1">
        <v>18</v>
      </c>
      <c r="H5" s="1">
        <v>63</v>
      </c>
      <c r="I5" s="1">
        <v>250</v>
      </c>
      <c r="J5" s="1">
        <v>338</v>
      </c>
      <c r="K5" s="1">
        <v>52</v>
      </c>
      <c r="L5" s="4">
        <v>65</v>
      </c>
      <c r="M5" s="1">
        <v>1</v>
      </c>
      <c r="N5" s="1">
        <v>1</v>
      </c>
      <c r="O5" s="1">
        <v>1</v>
      </c>
      <c r="Q5" s="1" t="s">
        <v>69</v>
      </c>
      <c r="R5" s="1">
        <v>1.5</v>
      </c>
      <c r="S5" s="1">
        <v>0.5</v>
      </c>
    </row>
    <row r="6" spans="1:19" ht="8.25" customHeight="1">
      <c r="A6" s="1" t="s">
        <v>29</v>
      </c>
      <c r="B6" s="1" t="s">
        <v>41</v>
      </c>
      <c r="C6" s="1" t="s">
        <v>57</v>
      </c>
      <c r="D6" s="1" t="s">
        <v>60</v>
      </c>
      <c r="E6" s="1">
        <v>8</v>
      </c>
      <c r="F6" s="1">
        <v>2608</v>
      </c>
      <c r="G6" s="1">
        <v>100</v>
      </c>
      <c r="H6" s="1">
        <v>64</v>
      </c>
      <c r="I6" s="1">
        <v>250</v>
      </c>
      <c r="J6" s="1">
        <v>160</v>
      </c>
      <c r="K6" s="1">
        <v>70</v>
      </c>
      <c r="L6" s="1">
        <v>21</v>
      </c>
      <c r="M6" s="1">
        <v>1</v>
      </c>
      <c r="N6" s="1">
        <v>1</v>
      </c>
      <c r="O6" s="1">
        <v>1</v>
      </c>
      <c r="Q6" s="1" t="s">
        <v>70</v>
      </c>
      <c r="R6" s="1">
        <v>2</v>
      </c>
      <c r="S6" s="1">
        <v>0</v>
      </c>
    </row>
    <row r="7" spans="1:19" ht="8.25" customHeight="1">
      <c r="A7" s="1" t="s">
        <v>17</v>
      </c>
      <c r="B7" s="1" t="s">
        <v>41</v>
      </c>
      <c r="C7" s="1" t="s">
        <v>57</v>
      </c>
      <c r="D7" s="1" t="s">
        <v>60</v>
      </c>
      <c r="E7" s="1">
        <v>9</v>
      </c>
      <c r="F7" s="1">
        <v>3362</v>
      </c>
      <c r="G7" s="1">
        <v>100</v>
      </c>
      <c r="H7" s="1">
        <v>63</v>
      </c>
      <c r="I7" s="1">
        <v>237</v>
      </c>
      <c r="J7" s="1">
        <v>195</v>
      </c>
      <c r="K7" s="1">
        <v>66</v>
      </c>
      <c r="L7" s="1">
        <v>30</v>
      </c>
      <c r="M7" s="1">
        <v>1</v>
      </c>
      <c r="N7" s="1">
        <v>1</v>
      </c>
      <c r="O7" s="1">
        <v>1</v>
      </c>
      <c r="Q7" s="1" t="s">
        <v>71</v>
      </c>
      <c r="R7" s="1">
        <v>3</v>
      </c>
      <c r="S7" s="1">
        <v>0</v>
      </c>
    </row>
    <row r="8" spans="1:19" ht="8.25" customHeight="1">
      <c r="A8" s="1" t="s">
        <v>39</v>
      </c>
      <c r="B8" s="1" t="s">
        <v>41</v>
      </c>
      <c r="C8" s="1" t="s">
        <v>57</v>
      </c>
      <c r="D8" s="1" t="s">
        <v>60</v>
      </c>
      <c r="E8" s="1">
        <v>10</v>
      </c>
      <c r="F8" s="1">
        <v>4135</v>
      </c>
      <c r="G8" s="1">
        <v>100</v>
      </c>
      <c r="H8" s="1">
        <v>62</v>
      </c>
      <c r="I8" s="1">
        <v>250</v>
      </c>
      <c r="J8" s="1">
        <v>260</v>
      </c>
      <c r="K8" s="1">
        <v>60</v>
      </c>
      <c r="L8" s="1">
        <v>45</v>
      </c>
      <c r="M8" s="1">
        <v>1</v>
      </c>
      <c r="N8" s="1">
        <v>1</v>
      </c>
      <c r="O8" s="1">
        <v>1</v>
      </c>
    </row>
    <row r="9" spans="1:19" ht="8.25" customHeight="1">
      <c r="A9" s="1" t="s">
        <v>28</v>
      </c>
      <c r="B9" s="1" t="s">
        <v>40</v>
      </c>
      <c r="C9" s="1" t="s">
        <v>58</v>
      </c>
      <c r="D9" s="1" t="s">
        <v>61</v>
      </c>
      <c r="E9" s="1">
        <v>8</v>
      </c>
      <c r="F9" s="1">
        <v>2857</v>
      </c>
      <c r="G9" s="1">
        <v>23</v>
      </c>
      <c r="H9" s="1">
        <v>61</v>
      </c>
      <c r="I9" s="1">
        <v>150</v>
      </c>
      <c r="J9" s="1">
        <v>215</v>
      </c>
      <c r="K9" s="1">
        <v>27</v>
      </c>
      <c r="L9" s="1">
        <v>106</v>
      </c>
      <c r="M9" s="1">
        <v>2</v>
      </c>
      <c r="N9" s="1">
        <v>2</v>
      </c>
      <c r="O9" s="1">
        <v>0</v>
      </c>
    </row>
    <row r="10" spans="1:19" ht="8.25" customHeight="1">
      <c r="A10" s="1" t="s">
        <v>32</v>
      </c>
      <c r="B10" s="1" t="s">
        <v>40</v>
      </c>
      <c r="C10" s="1" t="s">
        <v>58</v>
      </c>
      <c r="D10" s="1" t="s">
        <v>61</v>
      </c>
      <c r="E10" s="1">
        <v>9</v>
      </c>
      <c r="F10" s="1">
        <v>3683</v>
      </c>
      <c r="G10" s="1">
        <v>22</v>
      </c>
      <c r="H10" s="1">
        <v>60</v>
      </c>
      <c r="I10" s="1">
        <v>150</v>
      </c>
      <c r="J10" s="1">
        <v>270</v>
      </c>
      <c r="K10" s="1">
        <v>24</v>
      </c>
      <c r="L10" s="1">
        <v>114</v>
      </c>
      <c r="M10" s="1">
        <v>2</v>
      </c>
      <c r="N10" s="1">
        <v>2</v>
      </c>
      <c r="O10" s="1">
        <v>0</v>
      </c>
      <c r="Q10" s="1" t="s">
        <v>142</v>
      </c>
      <c r="R10" s="1">
        <v>1</v>
      </c>
    </row>
    <row r="11" spans="1:19" ht="8.25" customHeight="1">
      <c r="A11" s="1" t="s">
        <v>43</v>
      </c>
      <c r="B11" s="1" t="s">
        <v>40</v>
      </c>
      <c r="C11" s="1" t="s">
        <v>58</v>
      </c>
      <c r="D11" s="1" t="s">
        <v>61</v>
      </c>
      <c r="E11" s="1">
        <v>10</v>
      </c>
      <c r="F11" s="1">
        <v>4357</v>
      </c>
      <c r="G11" s="1">
        <v>21</v>
      </c>
      <c r="H11" s="1">
        <v>59</v>
      </c>
      <c r="I11" s="1">
        <v>150</v>
      </c>
      <c r="J11" s="1">
        <v>320</v>
      </c>
      <c r="K11" s="1">
        <v>21</v>
      </c>
      <c r="L11" s="1">
        <v>127</v>
      </c>
      <c r="M11" s="1">
        <v>2</v>
      </c>
      <c r="N11" s="1">
        <v>2</v>
      </c>
      <c r="O11" s="1">
        <v>0</v>
      </c>
      <c r="Q11" s="1" t="s">
        <v>143</v>
      </c>
      <c r="R11" s="1">
        <v>2</v>
      </c>
    </row>
    <row r="12" spans="1:19" ht="8.25" customHeight="1">
      <c r="A12" s="1" t="s">
        <v>44</v>
      </c>
      <c r="B12" s="1" t="s">
        <v>40</v>
      </c>
      <c r="C12" s="1" t="s">
        <v>58</v>
      </c>
      <c r="D12" s="1" t="s">
        <v>61</v>
      </c>
      <c r="E12" s="1">
        <v>11</v>
      </c>
      <c r="F12" s="1">
        <v>4966</v>
      </c>
      <c r="G12" s="1">
        <v>19</v>
      </c>
      <c r="H12" s="1">
        <v>55</v>
      </c>
      <c r="I12" s="1">
        <v>162</v>
      </c>
      <c r="J12" s="1">
        <v>350</v>
      </c>
      <c r="K12" s="1">
        <v>20</v>
      </c>
      <c r="L12" s="4">
        <v>129</v>
      </c>
      <c r="M12" s="1">
        <v>2</v>
      </c>
      <c r="N12" s="1">
        <v>2</v>
      </c>
      <c r="O12" s="1">
        <v>0</v>
      </c>
    </row>
    <row r="13" spans="1:19" ht="8.25" customHeight="1">
      <c r="A13" s="1" t="s">
        <v>30</v>
      </c>
      <c r="B13" s="1" t="s">
        <v>41</v>
      </c>
      <c r="C13" s="1" t="s">
        <v>58</v>
      </c>
      <c r="D13" s="1" t="s">
        <v>61</v>
      </c>
      <c r="E13" s="1">
        <v>8</v>
      </c>
      <c r="F13" s="1">
        <v>2857</v>
      </c>
      <c r="G13" s="1">
        <v>100</v>
      </c>
      <c r="H13" s="1">
        <v>61</v>
      </c>
      <c r="I13" s="1">
        <v>150</v>
      </c>
      <c r="J13" s="1">
        <v>215</v>
      </c>
      <c r="K13" s="1">
        <v>27</v>
      </c>
      <c r="L13" s="1">
        <v>106</v>
      </c>
      <c r="M13" s="1">
        <v>2</v>
      </c>
      <c r="N13" s="1">
        <v>2</v>
      </c>
      <c r="O13" s="1">
        <v>0</v>
      </c>
      <c r="Q13" s="1" t="s">
        <v>209</v>
      </c>
      <c r="R13" s="1">
        <v>0</v>
      </c>
    </row>
    <row r="14" spans="1:19" ht="8.25" customHeight="1">
      <c r="A14" s="1" t="s">
        <v>16</v>
      </c>
      <c r="B14" s="1" t="s">
        <v>41</v>
      </c>
      <c r="C14" s="1" t="s">
        <v>58</v>
      </c>
      <c r="D14" s="1" t="s">
        <v>61</v>
      </c>
      <c r="E14" s="1">
        <v>9</v>
      </c>
      <c r="F14" s="1">
        <v>3683</v>
      </c>
      <c r="G14" s="1">
        <v>100</v>
      </c>
      <c r="H14" s="1">
        <v>60</v>
      </c>
      <c r="I14" s="1">
        <v>150</v>
      </c>
      <c r="J14" s="1">
        <v>270</v>
      </c>
      <c r="K14" s="1">
        <v>24</v>
      </c>
      <c r="L14" s="1">
        <v>114</v>
      </c>
      <c r="M14" s="1">
        <v>2</v>
      </c>
      <c r="N14" s="1">
        <v>2</v>
      </c>
      <c r="O14" s="1">
        <v>0</v>
      </c>
      <c r="Q14" s="1" t="s">
        <v>210</v>
      </c>
      <c r="R14" s="1">
        <v>0.25</v>
      </c>
    </row>
    <row r="15" spans="1:19" ht="8.25" customHeight="1">
      <c r="A15" s="1" t="s">
        <v>45</v>
      </c>
      <c r="B15" s="1" t="s">
        <v>41</v>
      </c>
      <c r="C15" s="1" t="s">
        <v>58</v>
      </c>
      <c r="D15" s="1" t="s">
        <v>61</v>
      </c>
      <c r="E15" s="1">
        <v>10</v>
      </c>
      <c r="F15" s="1">
        <v>4357</v>
      </c>
      <c r="G15" s="1">
        <v>100</v>
      </c>
      <c r="H15" s="1">
        <v>59</v>
      </c>
      <c r="I15" s="1">
        <v>150</v>
      </c>
      <c r="J15" s="1">
        <v>320</v>
      </c>
      <c r="K15" s="1">
        <v>21</v>
      </c>
      <c r="L15" s="1">
        <v>127</v>
      </c>
      <c r="M15" s="1">
        <v>2</v>
      </c>
      <c r="N15" s="1">
        <v>2</v>
      </c>
      <c r="O15" s="1">
        <v>0</v>
      </c>
      <c r="Q15" s="1" t="s">
        <v>211</v>
      </c>
      <c r="R15" s="1">
        <v>0.5</v>
      </c>
    </row>
    <row r="16" spans="1:19" ht="8.25" customHeight="1">
      <c r="A16" s="1" t="s">
        <v>358</v>
      </c>
      <c r="B16" s="1" t="s">
        <v>40</v>
      </c>
      <c r="C16" s="1" t="s">
        <v>349</v>
      </c>
      <c r="D16" s="1" t="s">
        <v>60</v>
      </c>
      <c r="E16" s="1">
        <v>9</v>
      </c>
      <c r="F16" s="1">
        <v>2493</v>
      </c>
      <c r="G16" s="1">
        <v>20</v>
      </c>
      <c r="H16" s="1">
        <v>61</v>
      </c>
      <c r="I16" s="1">
        <v>212</v>
      </c>
      <c r="J16" s="1">
        <v>180</v>
      </c>
      <c r="K16" s="1">
        <v>66</v>
      </c>
      <c r="L16" s="1">
        <v>5</v>
      </c>
      <c r="M16" s="1">
        <v>4</v>
      </c>
      <c r="N16" s="1">
        <v>1</v>
      </c>
      <c r="O16" s="1">
        <v>0</v>
      </c>
    </row>
    <row r="17" spans="1:18" ht="8.25" customHeight="1">
      <c r="A17" s="1" t="s">
        <v>359</v>
      </c>
      <c r="B17" s="1" t="s">
        <v>40</v>
      </c>
      <c r="C17" s="1" t="s">
        <v>349</v>
      </c>
      <c r="D17" s="1" t="s">
        <v>60</v>
      </c>
      <c r="E17" s="1">
        <v>10</v>
      </c>
      <c r="F17" s="1">
        <v>3002</v>
      </c>
      <c r="G17" s="1">
        <v>20</v>
      </c>
      <c r="H17" s="1">
        <v>60</v>
      </c>
      <c r="I17" s="1">
        <v>225</v>
      </c>
      <c r="J17" s="1">
        <v>240</v>
      </c>
      <c r="K17" s="1">
        <v>60</v>
      </c>
      <c r="L17" s="1">
        <v>5</v>
      </c>
      <c r="M17" s="1">
        <v>4</v>
      </c>
      <c r="N17" s="1">
        <v>1</v>
      </c>
      <c r="O17" s="1">
        <v>0</v>
      </c>
    </row>
    <row r="18" spans="1:18" ht="8.25" customHeight="1">
      <c r="A18" s="1" t="s">
        <v>360</v>
      </c>
      <c r="B18" s="1" t="s">
        <v>40</v>
      </c>
      <c r="C18" s="1" t="s">
        <v>349</v>
      </c>
      <c r="D18" s="1" t="s">
        <v>60</v>
      </c>
      <c r="E18" s="1">
        <v>11</v>
      </c>
      <c r="F18" s="1">
        <v>3602</v>
      </c>
      <c r="G18" s="1">
        <v>20</v>
      </c>
      <c r="H18" s="1">
        <v>58</v>
      </c>
      <c r="I18" s="1">
        <v>225</v>
      </c>
      <c r="J18" s="1">
        <v>312</v>
      </c>
      <c r="K18" s="1">
        <v>54</v>
      </c>
      <c r="L18" s="1">
        <v>5</v>
      </c>
      <c r="M18" s="1">
        <v>4</v>
      </c>
      <c r="N18" s="1">
        <v>1</v>
      </c>
      <c r="O18" s="1">
        <v>0</v>
      </c>
    </row>
    <row r="19" spans="1:18" ht="8.25" customHeight="1">
      <c r="A19" s="1" t="s">
        <v>343</v>
      </c>
      <c r="B19" s="1" t="s">
        <v>40</v>
      </c>
      <c r="C19" s="1" t="s">
        <v>348</v>
      </c>
      <c r="D19" s="1" t="s">
        <v>61</v>
      </c>
      <c r="E19" s="1">
        <v>10</v>
      </c>
      <c r="F19" s="1">
        <v>1482</v>
      </c>
      <c r="G19" s="1">
        <v>14</v>
      </c>
      <c r="H19" s="1">
        <v>52</v>
      </c>
      <c r="I19" s="1">
        <v>325</v>
      </c>
      <c r="J19" s="1">
        <v>261</v>
      </c>
      <c r="K19" s="1">
        <v>25</v>
      </c>
      <c r="L19" s="1">
        <v>112</v>
      </c>
      <c r="M19" s="1">
        <v>5</v>
      </c>
      <c r="N19" s="1">
        <v>2</v>
      </c>
      <c r="O19" s="1">
        <v>0</v>
      </c>
    </row>
    <row r="20" spans="1:18" ht="8.25" customHeight="1">
      <c r="A20" s="1" t="s">
        <v>344</v>
      </c>
      <c r="B20" s="1" t="s">
        <v>40</v>
      </c>
      <c r="C20" s="1" t="s">
        <v>348</v>
      </c>
      <c r="D20" s="1" t="s">
        <v>61</v>
      </c>
      <c r="E20" s="1">
        <v>11</v>
      </c>
      <c r="F20" s="1">
        <v>1926</v>
      </c>
      <c r="G20" s="1">
        <v>14</v>
      </c>
      <c r="H20" s="1">
        <v>52</v>
      </c>
      <c r="I20" s="1">
        <v>325</v>
      </c>
      <c r="J20" s="1">
        <v>307</v>
      </c>
      <c r="K20" s="1">
        <v>24</v>
      </c>
      <c r="L20" s="1">
        <v>114</v>
      </c>
      <c r="M20" s="1">
        <v>5</v>
      </c>
      <c r="N20" s="1">
        <v>2</v>
      </c>
      <c r="O20" s="1">
        <v>0</v>
      </c>
    </row>
    <row r="21" spans="1:18" ht="8.25" customHeight="1">
      <c r="A21" s="1" t="s">
        <v>51</v>
      </c>
      <c r="B21" s="1" t="s">
        <v>56</v>
      </c>
      <c r="C21" s="1" t="s">
        <v>57</v>
      </c>
      <c r="D21" s="1" t="s">
        <v>60</v>
      </c>
      <c r="E21" s="1">
        <v>8</v>
      </c>
      <c r="F21" s="1">
        <v>3912</v>
      </c>
      <c r="G21" s="1">
        <v>33</v>
      </c>
      <c r="H21" s="1">
        <v>64</v>
      </c>
      <c r="I21" s="1">
        <v>250</v>
      </c>
      <c r="J21" s="1">
        <v>160</v>
      </c>
      <c r="K21" s="1">
        <v>70</v>
      </c>
      <c r="L21" s="1">
        <v>21</v>
      </c>
      <c r="M21" s="1">
        <v>1</v>
      </c>
      <c r="N21" s="1">
        <v>1</v>
      </c>
      <c r="O21" s="1">
        <v>0</v>
      </c>
    </row>
    <row r="22" spans="1:18" ht="8.25" customHeight="1">
      <c r="A22" s="1" t="s">
        <v>52</v>
      </c>
      <c r="B22" s="1" t="s">
        <v>56</v>
      </c>
      <c r="C22" s="1" t="s">
        <v>57</v>
      </c>
      <c r="D22" s="1" t="s">
        <v>60</v>
      </c>
      <c r="E22" s="1">
        <v>8</v>
      </c>
      <c r="F22" s="1">
        <v>2904</v>
      </c>
      <c r="G22" s="1">
        <v>66</v>
      </c>
      <c r="H22" s="1">
        <v>27</v>
      </c>
      <c r="I22" s="1">
        <v>300</v>
      </c>
      <c r="J22" s="1">
        <v>180</v>
      </c>
      <c r="K22" s="1">
        <v>70</v>
      </c>
      <c r="L22" s="1">
        <v>21</v>
      </c>
      <c r="M22" s="1">
        <v>1</v>
      </c>
      <c r="N22" s="1">
        <v>1</v>
      </c>
      <c r="O22" s="1">
        <v>0</v>
      </c>
      <c r="Q22" s="1" t="s">
        <v>231</v>
      </c>
      <c r="R22" s="1">
        <v>1</v>
      </c>
    </row>
    <row r="23" spans="1:18" ht="8.25" customHeight="1">
      <c r="A23" s="1" t="s">
        <v>53</v>
      </c>
      <c r="B23" s="1" t="s">
        <v>56</v>
      </c>
      <c r="C23" s="1" t="s">
        <v>57</v>
      </c>
      <c r="D23" s="1" t="s">
        <v>61</v>
      </c>
      <c r="E23" s="1">
        <v>8</v>
      </c>
      <c r="F23" s="1">
        <v>3894</v>
      </c>
      <c r="G23" s="1">
        <v>5</v>
      </c>
      <c r="H23" s="1">
        <v>64</v>
      </c>
      <c r="I23" s="1">
        <v>300</v>
      </c>
      <c r="J23" s="1">
        <v>50</v>
      </c>
      <c r="K23" s="1">
        <v>80</v>
      </c>
      <c r="L23" s="1">
        <v>5</v>
      </c>
      <c r="M23" s="1">
        <v>1</v>
      </c>
      <c r="N23" s="1">
        <v>2</v>
      </c>
      <c r="O23" s="1">
        <v>0</v>
      </c>
      <c r="Q23" s="1" t="s">
        <v>232</v>
      </c>
      <c r="R23" s="1">
        <v>2</v>
      </c>
    </row>
    <row r="24" spans="1:18" ht="8.25" customHeight="1">
      <c r="A24" s="1" t="s">
        <v>54</v>
      </c>
      <c r="B24" s="1" t="s">
        <v>56</v>
      </c>
      <c r="C24" s="1" t="s">
        <v>57</v>
      </c>
      <c r="D24" s="1" t="s">
        <v>60</v>
      </c>
      <c r="E24" s="1">
        <v>9</v>
      </c>
      <c r="F24" s="1">
        <v>5000</v>
      </c>
      <c r="G24" s="1">
        <v>16</v>
      </c>
      <c r="H24" s="1">
        <v>63</v>
      </c>
      <c r="I24" s="1">
        <v>300</v>
      </c>
      <c r="J24" s="1">
        <v>400</v>
      </c>
      <c r="K24" s="1">
        <v>63</v>
      </c>
      <c r="L24" s="4">
        <v>40</v>
      </c>
      <c r="M24" s="1">
        <v>1</v>
      </c>
      <c r="N24" s="1">
        <v>1</v>
      </c>
      <c r="O24" s="1">
        <v>2</v>
      </c>
    </row>
    <row r="25" spans="1:18" ht="8.25" customHeight="1">
      <c r="A25" s="1" t="s">
        <v>345</v>
      </c>
      <c r="B25" s="1" t="s">
        <v>56</v>
      </c>
      <c r="C25" s="1" t="s">
        <v>349</v>
      </c>
      <c r="D25" s="1" t="s">
        <v>61</v>
      </c>
      <c r="E25" s="1">
        <v>8</v>
      </c>
      <c r="F25" s="1">
        <v>2923</v>
      </c>
      <c r="G25" s="1">
        <v>21</v>
      </c>
      <c r="H25" s="1">
        <v>62</v>
      </c>
      <c r="I25" s="1">
        <v>212</v>
      </c>
      <c r="J25" s="1">
        <v>180</v>
      </c>
      <c r="K25" s="1">
        <v>41</v>
      </c>
      <c r="L25" s="6">
        <v>5</v>
      </c>
      <c r="M25" s="1">
        <v>4</v>
      </c>
      <c r="N25" s="1">
        <v>2</v>
      </c>
      <c r="O25" s="1">
        <v>0</v>
      </c>
    </row>
    <row r="26" spans="1:18" ht="8.25" customHeight="1">
      <c r="A26" s="1" t="s">
        <v>346</v>
      </c>
      <c r="B26" s="1" t="s">
        <v>56</v>
      </c>
      <c r="C26" s="1" t="s">
        <v>349</v>
      </c>
      <c r="D26" s="1" t="s">
        <v>61</v>
      </c>
      <c r="E26" s="1">
        <v>9</v>
      </c>
      <c r="F26" s="1">
        <v>3215</v>
      </c>
      <c r="G26" s="1">
        <v>22</v>
      </c>
      <c r="H26" s="1">
        <v>64</v>
      </c>
      <c r="I26" s="1">
        <v>212</v>
      </c>
      <c r="J26" s="1">
        <v>160</v>
      </c>
      <c r="K26" s="1">
        <v>41</v>
      </c>
      <c r="L26" s="6">
        <v>5</v>
      </c>
      <c r="M26" s="1">
        <v>4</v>
      </c>
      <c r="N26" s="1">
        <v>2</v>
      </c>
      <c r="O26" s="1">
        <v>0</v>
      </c>
    </row>
    <row r="27" spans="1:18" ht="8.25" customHeight="1">
      <c r="A27" s="1" t="s">
        <v>347</v>
      </c>
      <c r="B27" s="1" t="s">
        <v>56</v>
      </c>
      <c r="C27" s="1" t="s">
        <v>348</v>
      </c>
      <c r="D27" s="1" t="s">
        <v>61</v>
      </c>
      <c r="E27" s="1">
        <v>9</v>
      </c>
      <c r="F27" s="1">
        <v>1623</v>
      </c>
      <c r="G27" s="1">
        <v>17</v>
      </c>
      <c r="H27" s="1">
        <v>62</v>
      </c>
      <c r="I27" s="1">
        <v>450</v>
      </c>
      <c r="J27" s="1">
        <v>220</v>
      </c>
      <c r="K27" s="1">
        <v>27</v>
      </c>
      <c r="L27" s="6">
        <v>106</v>
      </c>
      <c r="M27" s="1">
        <v>5</v>
      </c>
      <c r="N27" s="1">
        <v>2</v>
      </c>
      <c r="O27" s="1">
        <v>0</v>
      </c>
    </row>
    <row r="28" spans="1:18" ht="8.25" customHeight="1">
      <c r="A28" s="1" t="s">
        <v>254</v>
      </c>
      <c r="B28" s="1" t="s">
        <v>56</v>
      </c>
      <c r="C28" s="1" t="s">
        <v>255</v>
      </c>
      <c r="D28" s="1" t="s">
        <v>256</v>
      </c>
      <c r="E28" s="1">
        <v>9</v>
      </c>
      <c r="F28" s="1">
        <v>5158</v>
      </c>
      <c r="G28" s="1">
        <v>15</v>
      </c>
      <c r="H28" s="1">
        <v>55</v>
      </c>
      <c r="I28" s="1">
        <v>150</v>
      </c>
      <c r="J28" s="1">
        <v>360</v>
      </c>
      <c r="K28" s="1">
        <v>17</v>
      </c>
      <c r="L28" s="6">
        <v>137</v>
      </c>
      <c r="M28" s="1">
        <v>3</v>
      </c>
      <c r="N28" s="1">
        <v>3</v>
      </c>
      <c r="O28" s="1">
        <v>0</v>
      </c>
    </row>
    <row r="29" spans="1:18" ht="8.25" customHeight="1">
      <c r="A29" s="1" t="s">
        <v>55</v>
      </c>
      <c r="B29" s="1" t="s">
        <v>56</v>
      </c>
      <c r="C29" s="1" t="s">
        <v>58</v>
      </c>
      <c r="D29" s="1" t="s">
        <v>61</v>
      </c>
      <c r="E29" s="1">
        <v>8</v>
      </c>
      <c r="F29" s="1">
        <v>4927</v>
      </c>
      <c r="G29" s="1">
        <v>44</v>
      </c>
      <c r="H29" s="1">
        <v>55</v>
      </c>
      <c r="I29" s="1">
        <v>425</v>
      </c>
      <c r="J29" s="1">
        <v>170</v>
      </c>
      <c r="K29" s="1">
        <v>35</v>
      </c>
      <c r="L29" s="1">
        <v>82</v>
      </c>
      <c r="M29" s="1">
        <v>2</v>
      </c>
      <c r="N29" s="1">
        <v>2</v>
      </c>
      <c r="O29" s="1">
        <v>0</v>
      </c>
    </row>
    <row r="37" spans="2:18" ht="8.25" customHeight="1">
      <c r="B37" s="49" t="s">
        <v>239</v>
      </c>
      <c r="C37" s="49"/>
      <c r="D37" s="49"/>
      <c r="E37" s="49"/>
      <c r="F37" s="49"/>
      <c r="G37" s="49"/>
      <c r="H37" s="49"/>
      <c r="I37" s="49"/>
      <c r="J37" s="49"/>
      <c r="K37" s="49"/>
      <c r="L37" s="49"/>
      <c r="M37" s="49"/>
      <c r="N37" s="49"/>
      <c r="O37" s="49"/>
      <c r="P37" s="49"/>
      <c r="Q37" s="49"/>
      <c r="R37" s="49"/>
    </row>
    <row r="38" spans="2:18" ht="8.25" customHeight="1">
      <c r="B38" s="49"/>
      <c r="C38" s="49"/>
      <c r="D38" s="49"/>
      <c r="E38" s="49"/>
      <c r="F38" s="49"/>
      <c r="G38" s="49"/>
      <c r="H38" s="49"/>
      <c r="I38" s="49"/>
      <c r="J38" s="49"/>
      <c r="K38" s="49"/>
      <c r="L38" s="49"/>
      <c r="M38" s="49"/>
      <c r="N38" s="49"/>
      <c r="O38" s="49"/>
      <c r="P38" s="49"/>
      <c r="Q38" s="49"/>
      <c r="R38" s="49"/>
    </row>
    <row r="39" spans="2:18" ht="8.25" customHeight="1">
      <c r="B39" s="49"/>
      <c r="C39" s="49"/>
      <c r="D39" s="49"/>
      <c r="E39" s="49"/>
      <c r="F39" s="49"/>
      <c r="G39" s="49"/>
      <c r="H39" s="49"/>
      <c r="I39" s="49"/>
      <c r="J39" s="49"/>
      <c r="K39" s="49"/>
      <c r="L39" s="49"/>
      <c r="M39" s="49"/>
      <c r="N39" s="49"/>
      <c r="O39" s="49"/>
      <c r="P39" s="49"/>
      <c r="Q39" s="49"/>
      <c r="R39" s="49"/>
    </row>
  </sheetData>
  <sheetProtection sheet="1" objects="1" scenarios="1" selectLockedCells="1" selectUnlockedCells="1"/>
  <mergeCells count="1">
    <mergeCell ref="B37:R39"/>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C94"/>
  <sheetViews>
    <sheetView showRowColHeaders="0" workbookViewId="0">
      <pane ySplit="1" topLeftCell="A2" activePane="bottomLeft" state="frozen"/>
      <selection pane="bottomLeft" activeCell="J44" sqref="J44:K48"/>
    </sheetView>
  </sheetViews>
  <sheetFormatPr defaultRowHeight="8.25" customHeight="1"/>
  <cols>
    <col min="1" max="2" width="9" style="1"/>
    <col min="3" max="3" width="1.75" style="1" customWidth="1"/>
    <col min="4" max="4" width="2.125" style="1" customWidth="1"/>
    <col min="5" max="5" width="3.125" style="1" customWidth="1"/>
    <col min="6" max="6" width="3" style="1" customWidth="1"/>
    <col min="7" max="7" width="2.875" style="1" customWidth="1"/>
    <col min="8" max="8" width="3.125" style="1" customWidth="1"/>
    <col min="9" max="12" width="9" style="1"/>
    <col min="13" max="13" width="19.5" style="1" customWidth="1"/>
    <col min="14" max="14" width="4.625" style="1" customWidth="1"/>
    <col min="15" max="15" width="5.25" style="1" customWidth="1"/>
    <col min="16" max="16" width="4" style="1" customWidth="1"/>
    <col min="17" max="17" width="5.75" style="1" customWidth="1"/>
    <col min="18" max="18" width="5.625" style="1" customWidth="1"/>
    <col min="19" max="19" width="5.875" style="1" customWidth="1"/>
    <col min="20" max="20" width="5.75" style="1" customWidth="1"/>
    <col min="21" max="21" width="5.625" style="1" customWidth="1"/>
    <col min="22" max="22" width="4.375" style="1" customWidth="1"/>
    <col min="23" max="23" width="5.75" style="1" customWidth="1"/>
    <col min="24" max="16384" width="9" style="1"/>
  </cols>
  <sheetData>
    <row r="1" spans="1:28" ht="8.25" customHeight="1">
      <c r="B1" s="1" t="s">
        <v>38</v>
      </c>
      <c r="C1" s="1" t="s">
        <v>125</v>
      </c>
      <c r="D1" s="1" t="s">
        <v>37</v>
      </c>
      <c r="E1" s="1" t="s">
        <v>85</v>
      </c>
      <c r="F1" s="1" t="s">
        <v>89</v>
      </c>
      <c r="G1" s="1" t="s">
        <v>50</v>
      </c>
      <c r="H1" s="1" t="s">
        <v>103</v>
      </c>
      <c r="M1" s="1" t="s">
        <v>165</v>
      </c>
      <c r="P1" s="1" t="s">
        <v>140</v>
      </c>
      <c r="Q1" s="1" t="s">
        <v>104</v>
      </c>
      <c r="R1" s="1" t="s">
        <v>178</v>
      </c>
      <c r="S1" s="1" t="s">
        <v>105</v>
      </c>
      <c r="T1" s="1" t="s">
        <v>106</v>
      </c>
      <c r="U1" s="1" t="s">
        <v>107</v>
      </c>
      <c r="V1" s="1" t="s">
        <v>108</v>
      </c>
      <c r="W1" s="1" t="s">
        <v>204</v>
      </c>
      <c r="Y1" s="1" t="s">
        <v>161</v>
      </c>
      <c r="Z1" s="1" t="s">
        <v>162</v>
      </c>
      <c r="AA1" s="1" t="s">
        <v>163</v>
      </c>
      <c r="AB1" s="1" t="s">
        <v>164</v>
      </c>
    </row>
    <row r="2" spans="1:28" ht="8.25" customHeight="1">
      <c r="A2" s="1" t="s">
        <v>158</v>
      </c>
      <c r="C2" s="1" t="s">
        <v>160</v>
      </c>
      <c r="D2" s="1" t="s">
        <v>160</v>
      </c>
      <c r="E2" s="1">
        <v>0</v>
      </c>
      <c r="F2" s="1">
        <v>0</v>
      </c>
      <c r="G2" s="1">
        <v>0</v>
      </c>
      <c r="H2" s="1">
        <v>0</v>
      </c>
      <c r="J2" s="1" t="s">
        <v>251</v>
      </c>
      <c r="K2" s="1" t="s">
        <v>251</v>
      </c>
      <c r="M2" s="1" t="s">
        <v>158</v>
      </c>
      <c r="N2" s="1" t="s">
        <v>158</v>
      </c>
      <c r="O2" s="1" t="s">
        <v>158</v>
      </c>
      <c r="P2" s="1" t="s">
        <v>160</v>
      </c>
      <c r="Q2" s="1">
        <v>1</v>
      </c>
      <c r="R2" s="1">
        <v>0</v>
      </c>
      <c r="S2" s="1">
        <v>1</v>
      </c>
      <c r="T2" s="1">
        <v>0</v>
      </c>
      <c r="U2" s="1">
        <v>0</v>
      </c>
      <c r="V2" s="1">
        <v>1</v>
      </c>
      <c r="W2" s="1">
        <v>0</v>
      </c>
      <c r="Y2" s="1" t="s">
        <v>158</v>
      </c>
      <c r="Z2" s="1">
        <v>0</v>
      </c>
      <c r="AA2" s="1">
        <v>0</v>
      </c>
      <c r="AB2" s="1">
        <v>0</v>
      </c>
    </row>
    <row r="3" spans="1:28" ht="8.25" customHeight="1">
      <c r="A3" s="1" t="s">
        <v>124</v>
      </c>
      <c r="B3" s="1" t="s">
        <v>122</v>
      </c>
      <c r="C3" s="1" t="s">
        <v>123</v>
      </c>
      <c r="D3" s="1">
        <v>7</v>
      </c>
      <c r="E3" s="1">
        <v>83</v>
      </c>
      <c r="F3" s="1">
        <v>10</v>
      </c>
      <c r="G3" s="1">
        <v>35</v>
      </c>
      <c r="H3" s="1">
        <v>0</v>
      </c>
      <c r="J3" s="1" t="str">
        <f>IF(ステ入力型!$D$1=1,A3, )</f>
        <v>オリカウ</v>
      </c>
      <c r="K3" s="1" t="str">
        <f>IF(ステ計算型!$C$1=1,A3, )</f>
        <v>オリカウ</v>
      </c>
      <c r="M3" s="1" t="s">
        <v>171</v>
      </c>
      <c r="N3" s="1" t="str">
        <f>IF(ステ入力型!$D$1=1,M3, )</f>
        <v>レンタル用クマの着ぐるみ</v>
      </c>
      <c r="O3" s="1" t="str">
        <f>IF(ステ計算型!$C$1=1,M3, )</f>
        <v>レンタル用クマの着ぐるみ</v>
      </c>
      <c r="P3" s="1" t="s">
        <v>141</v>
      </c>
      <c r="Q3" s="1">
        <v>1.1000000000000001</v>
      </c>
      <c r="R3" s="1">
        <v>0</v>
      </c>
      <c r="S3" s="1">
        <v>1</v>
      </c>
      <c r="T3" s="1">
        <v>0</v>
      </c>
      <c r="U3" s="1">
        <v>0</v>
      </c>
      <c r="V3" s="1">
        <v>1</v>
      </c>
      <c r="W3" s="1">
        <v>0</v>
      </c>
      <c r="Y3" s="1" t="s">
        <v>167</v>
      </c>
      <c r="Z3" s="1">
        <v>524</v>
      </c>
      <c r="AA3" s="1">
        <v>2</v>
      </c>
      <c r="AB3" s="1">
        <v>100</v>
      </c>
    </row>
    <row r="4" spans="1:28" ht="8.25" customHeight="1">
      <c r="A4" s="1" t="s">
        <v>339</v>
      </c>
      <c r="B4" s="1" t="s">
        <v>122</v>
      </c>
      <c r="C4" s="1" t="s">
        <v>123</v>
      </c>
      <c r="D4" s="1">
        <v>8</v>
      </c>
      <c r="E4" s="1">
        <v>114</v>
      </c>
      <c r="F4" s="1">
        <v>10</v>
      </c>
      <c r="G4" s="1">
        <v>50</v>
      </c>
      <c r="H4" s="1">
        <v>0</v>
      </c>
      <c r="J4" s="1" t="str">
        <f>IF(ステ入力型!$D$1=1,A4, )</f>
        <v>男ジャーマン</v>
      </c>
      <c r="K4" s="1" t="str">
        <f>IF(ステ計算型!$C$1=1,A4, )</f>
        <v>男ジャーマン</v>
      </c>
      <c r="M4" s="1" t="s">
        <v>172</v>
      </c>
      <c r="N4" s="1">
        <f>IF(ステ入力型!$D$1=2,M4, )</f>
        <v>0</v>
      </c>
      <c r="O4" s="1">
        <f>IF(ステ計算型!$C$1=2,M4, )</f>
        <v>0</v>
      </c>
      <c r="P4" s="1" t="s">
        <v>173</v>
      </c>
      <c r="Q4" s="1">
        <v>1.1000000000000001</v>
      </c>
      <c r="R4" s="1">
        <v>0</v>
      </c>
      <c r="S4" s="1">
        <v>1</v>
      </c>
      <c r="T4" s="1">
        <v>0</v>
      </c>
      <c r="U4" s="1">
        <v>0</v>
      </c>
      <c r="V4" s="1">
        <v>1</v>
      </c>
      <c r="W4" s="1">
        <v>0</v>
      </c>
      <c r="Y4" s="1" t="s">
        <v>168</v>
      </c>
      <c r="Z4" s="1">
        <v>733</v>
      </c>
      <c r="AA4" s="1">
        <v>2</v>
      </c>
      <c r="AB4" s="1">
        <v>135</v>
      </c>
    </row>
    <row r="5" spans="1:28" ht="8.25" customHeight="1">
      <c r="A5" s="1" t="s">
        <v>144</v>
      </c>
      <c r="B5" s="1" t="s">
        <v>122</v>
      </c>
      <c r="C5" s="1" t="s">
        <v>123</v>
      </c>
      <c r="D5" s="1">
        <v>10</v>
      </c>
      <c r="E5" s="1">
        <v>139</v>
      </c>
      <c r="F5" s="1">
        <v>10</v>
      </c>
      <c r="G5" s="1">
        <v>70</v>
      </c>
      <c r="H5" s="1">
        <v>0</v>
      </c>
      <c r="J5" s="1" t="str">
        <f>IF(ステ入力型!$D$1=1,A5, )</f>
        <v>男10服</v>
      </c>
      <c r="K5" s="1" t="str">
        <f>IF(ステ計算型!$C$1=1,A5, )</f>
        <v>男10服</v>
      </c>
      <c r="M5" s="1" t="s">
        <v>174</v>
      </c>
      <c r="N5" s="1" t="str">
        <f>IF(ステ入力型!$D$1=1,M5, )</f>
        <v>レンタルあの世の使いの服</v>
      </c>
      <c r="O5" s="1" t="str">
        <f>IF(ステ計算型!$C$1=1,M5, )</f>
        <v>レンタルあの世の使いの服</v>
      </c>
      <c r="P5" s="1" t="s">
        <v>141</v>
      </c>
      <c r="Q5" s="1">
        <v>1.1000000000000001</v>
      </c>
      <c r="R5" s="1">
        <v>0</v>
      </c>
      <c r="S5" s="1">
        <v>1</v>
      </c>
      <c r="T5" s="1">
        <v>0</v>
      </c>
      <c r="U5" s="1">
        <v>0</v>
      </c>
      <c r="V5" s="1">
        <v>1</v>
      </c>
      <c r="W5" s="1">
        <v>0</v>
      </c>
      <c r="Y5" s="1" t="s">
        <v>169</v>
      </c>
      <c r="Z5" s="1">
        <v>1027</v>
      </c>
      <c r="AA5" s="1">
        <v>2</v>
      </c>
      <c r="AB5" s="1">
        <v>178</v>
      </c>
    </row>
    <row r="6" spans="1:28" ht="8.25" customHeight="1">
      <c r="A6" s="1" t="s">
        <v>145</v>
      </c>
      <c r="B6" s="1" t="s">
        <v>122</v>
      </c>
      <c r="C6" s="1" t="s">
        <v>123</v>
      </c>
      <c r="D6" s="1">
        <v>11</v>
      </c>
      <c r="E6" s="1">
        <v>168</v>
      </c>
      <c r="F6" s="1">
        <v>10</v>
      </c>
      <c r="G6" s="1">
        <v>98</v>
      </c>
      <c r="H6" s="1">
        <v>0</v>
      </c>
      <c r="J6" s="1" t="str">
        <f>IF(ステ入力型!$D$1=1,A6, )</f>
        <v>男11服</v>
      </c>
      <c r="K6" s="1" t="str">
        <f>IF(ステ計算型!$C$1=1,A6, )</f>
        <v>男11服</v>
      </c>
      <c r="M6" s="1" t="s">
        <v>175</v>
      </c>
      <c r="N6" s="1">
        <f>IF(ステ入力型!$D$1=2,M6, )</f>
        <v>0</v>
      </c>
      <c r="O6" s="1">
        <f>IF(ステ計算型!$C$1=2,M6, )</f>
        <v>0</v>
      </c>
      <c r="P6" s="1" t="s">
        <v>173</v>
      </c>
      <c r="Q6" s="1">
        <v>1.1000000000000001</v>
      </c>
      <c r="R6" s="1">
        <v>0</v>
      </c>
      <c r="S6" s="1">
        <v>1</v>
      </c>
      <c r="T6" s="1">
        <v>0</v>
      </c>
      <c r="U6" s="1">
        <v>0</v>
      </c>
      <c r="V6" s="1">
        <v>1</v>
      </c>
      <c r="W6" s="1">
        <v>0</v>
      </c>
      <c r="Y6" s="1" t="s">
        <v>170</v>
      </c>
      <c r="Z6" s="1">
        <v>1386</v>
      </c>
      <c r="AA6" s="1">
        <v>2</v>
      </c>
      <c r="AB6" s="1">
        <v>233</v>
      </c>
    </row>
    <row r="7" spans="1:28" ht="8.25" customHeight="1">
      <c r="A7" s="1" t="s">
        <v>332</v>
      </c>
      <c r="B7" s="1" t="s">
        <v>122</v>
      </c>
      <c r="C7" s="1" t="s">
        <v>123</v>
      </c>
      <c r="D7" s="1">
        <v>7</v>
      </c>
      <c r="E7" s="1">
        <v>80</v>
      </c>
      <c r="F7" s="1">
        <v>10</v>
      </c>
      <c r="G7" s="1">
        <v>20</v>
      </c>
      <c r="H7" s="1">
        <v>0</v>
      </c>
      <c r="J7" s="1" t="str">
        <f>IF(ステ入力型!$D$1=1,A7, )</f>
        <v>男3級職服</v>
      </c>
      <c r="K7" s="1" t="str">
        <f>IF(ステ計算型!$C$1=1,A7, )</f>
        <v>男3級職服</v>
      </c>
      <c r="M7" s="1" t="s">
        <v>176</v>
      </c>
      <c r="N7" s="1" t="str">
        <f>IF(ステ入力型!$D$1=1,M7, )</f>
        <v>レンタル用忍び衣装(男)</v>
      </c>
      <c r="O7" s="1" t="str">
        <f>IF(ステ計算型!$C$1=1,M7, )</f>
        <v>レンタル用忍び衣装(男)</v>
      </c>
      <c r="P7" s="1" t="s">
        <v>141</v>
      </c>
      <c r="Q7" s="1">
        <v>1.1000000000000001</v>
      </c>
      <c r="R7" s="1">
        <v>0</v>
      </c>
      <c r="S7" s="1">
        <v>1.1000000000000001</v>
      </c>
      <c r="T7" s="1">
        <v>0</v>
      </c>
      <c r="U7" s="1">
        <v>0</v>
      </c>
      <c r="V7" s="1">
        <v>1</v>
      </c>
      <c r="W7" s="1">
        <v>0</v>
      </c>
    </row>
    <row r="8" spans="1:28" ht="8.25" customHeight="1">
      <c r="A8" s="1" t="s">
        <v>333</v>
      </c>
      <c r="B8" s="1" t="s">
        <v>122</v>
      </c>
      <c r="C8" s="1" t="s">
        <v>123</v>
      </c>
      <c r="D8" s="1">
        <v>8</v>
      </c>
      <c r="E8" s="1">
        <v>107</v>
      </c>
      <c r="F8" s="1">
        <v>10</v>
      </c>
      <c r="G8" s="1">
        <v>31</v>
      </c>
      <c r="H8" s="1">
        <v>0</v>
      </c>
      <c r="J8" s="1" t="str">
        <f>IF(ステ入力型!$D$1=1,A8, )</f>
        <v>男2級職服</v>
      </c>
      <c r="K8" s="1" t="str">
        <f>IF(ステ計算型!$C$1=1,A8, )</f>
        <v>男2級職服</v>
      </c>
      <c r="M8" s="1" t="s">
        <v>177</v>
      </c>
      <c r="N8" s="1">
        <f>IF(ステ入力型!$D$1=2,M8, )</f>
        <v>0</v>
      </c>
      <c r="O8" s="1">
        <f>IF(ステ計算型!$C$1=2,M8, )</f>
        <v>0</v>
      </c>
      <c r="P8" s="1" t="s">
        <v>173</v>
      </c>
      <c r="Q8" s="1">
        <v>1.1000000000000001</v>
      </c>
      <c r="R8" s="1">
        <v>0</v>
      </c>
      <c r="S8" s="1">
        <v>1.1000000000000001</v>
      </c>
      <c r="T8" s="1">
        <v>0</v>
      </c>
      <c r="U8" s="1">
        <v>0</v>
      </c>
      <c r="V8" s="1">
        <v>1</v>
      </c>
      <c r="W8" s="1">
        <v>0</v>
      </c>
    </row>
    <row r="9" spans="1:28" ht="8.25" customHeight="1">
      <c r="A9" s="1" t="s">
        <v>335</v>
      </c>
      <c r="B9" s="1" t="s">
        <v>122</v>
      </c>
      <c r="C9" s="1" t="s">
        <v>123</v>
      </c>
      <c r="D9" s="1">
        <v>9</v>
      </c>
      <c r="E9" s="1">
        <v>133</v>
      </c>
      <c r="F9" s="1">
        <v>10</v>
      </c>
      <c r="G9" s="1">
        <v>45</v>
      </c>
      <c r="H9" s="1">
        <v>0</v>
      </c>
      <c r="J9" s="1" t="str">
        <f>IF(ステ入力型!$D$1=1,A9, )</f>
        <v>男1級職服</v>
      </c>
      <c r="K9" s="1" t="str">
        <f>IF(ステ計算型!$C$1=1,A9, )</f>
        <v>男1級職服</v>
      </c>
      <c r="M9" s="1" t="s">
        <v>179</v>
      </c>
      <c r="N9" s="1" t="str">
        <f>IF(ステ入力型!$D$1=1,M9, )</f>
        <v>レンタル用神官衣装(男)</v>
      </c>
      <c r="O9" s="1" t="str">
        <f>IF(ステ計算型!$C$1=1,M9, )</f>
        <v>レンタル用神官衣装(男)</v>
      </c>
      <c r="P9" s="1" t="s">
        <v>141</v>
      </c>
      <c r="Q9" s="1">
        <v>1.1000000000000001</v>
      </c>
      <c r="R9" s="1">
        <v>5</v>
      </c>
      <c r="S9" s="1">
        <v>1</v>
      </c>
      <c r="T9" s="1">
        <v>0</v>
      </c>
      <c r="U9" s="1">
        <v>0</v>
      </c>
      <c r="V9" s="1">
        <v>1</v>
      </c>
      <c r="W9" s="1">
        <v>0</v>
      </c>
    </row>
    <row r="10" spans="1:28" ht="8.25" customHeight="1">
      <c r="A10" s="1" t="s">
        <v>126</v>
      </c>
      <c r="B10" s="1" t="s">
        <v>122</v>
      </c>
      <c r="C10" s="1" t="s">
        <v>127</v>
      </c>
      <c r="D10" s="1">
        <v>7</v>
      </c>
      <c r="E10" s="1">
        <v>74</v>
      </c>
      <c r="F10" s="1">
        <v>10</v>
      </c>
      <c r="G10" s="1">
        <v>24</v>
      </c>
      <c r="H10" s="1">
        <v>0</v>
      </c>
      <c r="J10" s="1">
        <f>IF(ステ入力型!$D$1=2,A10, )</f>
        <v>0</v>
      </c>
      <c r="K10" s="1">
        <f>IF(ステ計算型!$C$1=2,A10, )</f>
        <v>0</v>
      </c>
      <c r="M10" s="1" t="s">
        <v>180</v>
      </c>
      <c r="N10" s="1">
        <f>IF(ステ入力型!$D$1=2,M10, )</f>
        <v>0</v>
      </c>
      <c r="O10" s="1">
        <f>IF(ステ計算型!$C$1=2,M10, )</f>
        <v>0</v>
      </c>
      <c r="P10" s="1" t="s">
        <v>173</v>
      </c>
      <c r="Q10" s="1">
        <v>1.1000000000000001</v>
      </c>
      <c r="R10" s="1">
        <v>5</v>
      </c>
      <c r="S10" s="1">
        <v>1</v>
      </c>
      <c r="T10" s="1">
        <v>0</v>
      </c>
      <c r="U10" s="1">
        <v>0</v>
      </c>
      <c r="V10" s="1">
        <v>1</v>
      </c>
      <c r="W10" s="1">
        <v>0</v>
      </c>
    </row>
    <row r="11" spans="1:28" ht="8.25" customHeight="1">
      <c r="A11" s="1" t="s">
        <v>340</v>
      </c>
      <c r="B11" s="1" t="s">
        <v>122</v>
      </c>
      <c r="C11" s="1" t="s">
        <v>127</v>
      </c>
      <c r="D11" s="1">
        <v>8</v>
      </c>
      <c r="E11" s="1">
        <v>101</v>
      </c>
      <c r="F11" s="1">
        <v>10</v>
      </c>
      <c r="G11" s="1">
        <v>38</v>
      </c>
      <c r="H11" s="1">
        <v>0</v>
      </c>
      <c r="J11" s="1">
        <f>IF(ステ入力型!$D$1=2,A11, )</f>
        <v>0</v>
      </c>
      <c r="K11" s="1">
        <f>IF(ステ計算型!$C$1=2,A11, )</f>
        <v>0</v>
      </c>
      <c r="M11" s="1" t="s">
        <v>181</v>
      </c>
      <c r="N11" s="1" t="str">
        <f>IF(ステ入力型!$D$1=1,M11, )</f>
        <v>レンタル用戦国武者鎧(男)</v>
      </c>
      <c r="O11" s="1" t="str">
        <f>IF(ステ計算型!$C$1=1,M11, )</f>
        <v>レンタル用戦国武者鎧(男)</v>
      </c>
      <c r="P11" s="1" t="s">
        <v>141</v>
      </c>
      <c r="Q11" s="1">
        <v>1.3</v>
      </c>
      <c r="R11" s="1">
        <v>10</v>
      </c>
      <c r="S11" s="1">
        <v>1</v>
      </c>
      <c r="T11" s="1">
        <v>0</v>
      </c>
      <c r="U11" s="1">
        <v>0</v>
      </c>
      <c r="V11" s="1">
        <v>1</v>
      </c>
      <c r="W11" s="1">
        <v>0</v>
      </c>
    </row>
    <row r="12" spans="1:28" ht="8.25" customHeight="1">
      <c r="A12" s="1" t="s">
        <v>146</v>
      </c>
      <c r="B12" s="1" t="s">
        <v>122</v>
      </c>
      <c r="C12" s="1" t="s">
        <v>127</v>
      </c>
      <c r="D12" s="1">
        <v>11</v>
      </c>
      <c r="E12" s="1">
        <v>137</v>
      </c>
      <c r="F12" s="1">
        <v>10</v>
      </c>
      <c r="G12" s="1">
        <v>60</v>
      </c>
      <c r="H12" s="1">
        <v>0</v>
      </c>
      <c r="J12" s="1">
        <f>IF(ステ入力型!$D$1=2,A12, )</f>
        <v>0</v>
      </c>
      <c r="K12" s="1">
        <f>IF(ステ計算型!$C$1=2,A12, )</f>
        <v>0</v>
      </c>
      <c r="M12" s="1" t="s">
        <v>182</v>
      </c>
      <c r="N12" s="1">
        <f>IF(ステ入力型!$D$1=2,M12, )</f>
        <v>0</v>
      </c>
      <c r="O12" s="1">
        <f>IF(ステ計算型!$C$1=2,M12, )</f>
        <v>0</v>
      </c>
      <c r="P12" s="1" t="s">
        <v>173</v>
      </c>
      <c r="Q12" s="1">
        <v>1.3</v>
      </c>
      <c r="R12" s="1">
        <v>10</v>
      </c>
      <c r="S12" s="1">
        <v>1</v>
      </c>
      <c r="T12" s="1">
        <v>0</v>
      </c>
      <c r="U12" s="1">
        <v>0</v>
      </c>
      <c r="V12" s="1">
        <v>1</v>
      </c>
      <c r="W12" s="1">
        <v>0</v>
      </c>
    </row>
    <row r="13" spans="1:28" ht="8.25" customHeight="1">
      <c r="A13" s="1" t="s">
        <v>336</v>
      </c>
      <c r="B13" s="1" t="s">
        <v>122</v>
      </c>
      <c r="C13" s="1" t="s">
        <v>127</v>
      </c>
      <c r="D13" s="1">
        <v>7</v>
      </c>
      <c r="E13" s="1">
        <v>71</v>
      </c>
      <c r="F13" s="1">
        <v>10</v>
      </c>
      <c r="G13" s="1">
        <v>15</v>
      </c>
      <c r="H13" s="1">
        <v>0</v>
      </c>
      <c r="J13" s="1">
        <f>IF(ステ入力型!$D$1=2,A13, )</f>
        <v>0</v>
      </c>
      <c r="K13" s="1">
        <f>IF(ステ計算型!$C$1=2,A13, )</f>
        <v>0</v>
      </c>
      <c r="M13" s="1" t="s">
        <v>189</v>
      </c>
      <c r="N13" s="1" t="str">
        <f>IF(ステ入力型!$D$1=1,M13, )</f>
        <v>サマー特選シャーク</v>
      </c>
      <c r="O13" s="1" t="str">
        <f>IF(ステ計算型!$C$1=1,M13, )</f>
        <v>サマー特選シャーク</v>
      </c>
      <c r="P13" s="1" t="s">
        <v>141</v>
      </c>
      <c r="Q13" s="1">
        <v>1.1000000000000001</v>
      </c>
      <c r="R13" s="1">
        <v>10</v>
      </c>
      <c r="S13" s="1">
        <v>1</v>
      </c>
      <c r="T13" s="1">
        <v>0</v>
      </c>
      <c r="U13" s="1">
        <v>0</v>
      </c>
      <c r="V13" s="1">
        <v>1</v>
      </c>
      <c r="W13" s="1">
        <v>0</v>
      </c>
    </row>
    <row r="14" spans="1:28" ht="8.25" customHeight="1">
      <c r="A14" s="1" t="s">
        <v>337</v>
      </c>
      <c r="B14" s="1" t="s">
        <v>122</v>
      </c>
      <c r="C14" s="1" t="s">
        <v>127</v>
      </c>
      <c r="D14" s="1">
        <v>8</v>
      </c>
      <c r="E14" s="1">
        <v>96</v>
      </c>
      <c r="F14" s="1">
        <v>10</v>
      </c>
      <c r="G14" s="1">
        <v>21</v>
      </c>
      <c r="H14" s="1">
        <v>0</v>
      </c>
      <c r="J14" s="1">
        <f>IF(ステ入力型!$D$1=2,A14, )</f>
        <v>0</v>
      </c>
      <c r="K14" s="1">
        <f>IF(ステ計算型!$C$1=2,A14, )</f>
        <v>0</v>
      </c>
      <c r="M14" s="1" t="s">
        <v>190</v>
      </c>
      <c r="N14" s="1">
        <f>IF(ステ入力型!$D$1=2,M14, )</f>
        <v>0</v>
      </c>
      <c r="O14" s="1">
        <f>IF(ステ計算型!$C$1=2,M14, )</f>
        <v>0</v>
      </c>
      <c r="P14" s="1" t="s">
        <v>173</v>
      </c>
      <c r="Q14" s="1">
        <v>1.1000000000000001</v>
      </c>
      <c r="R14" s="1">
        <v>10</v>
      </c>
      <c r="S14" s="1">
        <v>1</v>
      </c>
      <c r="T14" s="1">
        <v>0</v>
      </c>
      <c r="U14" s="1">
        <v>0</v>
      </c>
      <c r="V14" s="1">
        <v>1</v>
      </c>
      <c r="W14" s="1">
        <v>0</v>
      </c>
    </row>
    <row r="15" spans="1:28" ht="8.25" customHeight="1">
      <c r="A15" s="1" t="s">
        <v>338</v>
      </c>
      <c r="B15" s="1" t="s">
        <v>122</v>
      </c>
      <c r="C15" s="1" t="s">
        <v>127</v>
      </c>
      <c r="D15" s="1">
        <v>9</v>
      </c>
      <c r="E15" s="1">
        <v>117</v>
      </c>
      <c r="F15" s="1">
        <v>10</v>
      </c>
      <c r="G15" s="1">
        <v>34</v>
      </c>
      <c r="H15" s="1">
        <v>0</v>
      </c>
      <c r="J15" s="1">
        <f>IF(ステ入力型!$D$1=2,A15, )</f>
        <v>0</v>
      </c>
      <c r="K15" s="1">
        <f>IF(ステ計算型!$C$1=2,A15, )</f>
        <v>0</v>
      </c>
      <c r="M15" s="1" t="s">
        <v>191</v>
      </c>
      <c r="N15" s="1" t="str">
        <f>IF(ステ入力型!$D$1=1,M15, )</f>
        <v>ロストレンジャーレッド</v>
      </c>
      <c r="O15" s="1" t="str">
        <f>IF(ステ計算型!$C$1=1,M15, )</f>
        <v>ロストレンジャーレッド</v>
      </c>
      <c r="P15" s="1" t="s">
        <v>141</v>
      </c>
      <c r="Q15" s="1">
        <v>1.1000000000000001</v>
      </c>
      <c r="R15" s="1">
        <v>15</v>
      </c>
      <c r="S15" s="1">
        <v>1</v>
      </c>
      <c r="T15" s="1">
        <v>0</v>
      </c>
      <c r="U15" s="1">
        <v>0</v>
      </c>
      <c r="V15" s="1">
        <v>1</v>
      </c>
      <c r="W15" s="1">
        <v>0</v>
      </c>
    </row>
    <row r="16" spans="1:28" ht="8.25" customHeight="1">
      <c r="A16" s="1" t="s">
        <v>158</v>
      </c>
      <c r="C16" s="1" t="s">
        <v>160</v>
      </c>
      <c r="D16" s="1" t="s">
        <v>160</v>
      </c>
      <c r="E16" s="1">
        <v>0</v>
      </c>
      <c r="F16" s="1">
        <v>0</v>
      </c>
      <c r="G16" s="1">
        <v>0</v>
      </c>
      <c r="H16" s="1">
        <v>0</v>
      </c>
      <c r="I16" s="1" t="s">
        <v>160</v>
      </c>
      <c r="J16" s="1" t="s">
        <v>251</v>
      </c>
      <c r="K16" s="1" t="s">
        <v>251</v>
      </c>
      <c r="M16" s="1" t="s">
        <v>192</v>
      </c>
      <c r="N16" s="1">
        <f>IF(ステ入力型!$D$1=2,M16, )</f>
        <v>0</v>
      </c>
      <c r="O16" s="1">
        <f>IF(ステ計算型!$C$1=2,M16, )</f>
        <v>0</v>
      </c>
      <c r="P16" s="1" t="s">
        <v>173</v>
      </c>
      <c r="Q16" s="1">
        <v>1.1000000000000001</v>
      </c>
      <c r="R16" s="1">
        <v>15</v>
      </c>
      <c r="S16" s="1">
        <v>1</v>
      </c>
      <c r="T16" s="1">
        <v>0</v>
      </c>
      <c r="U16" s="1">
        <v>0</v>
      </c>
      <c r="V16" s="1">
        <v>1</v>
      </c>
      <c r="W16" s="1">
        <v>0</v>
      </c>
    </row>
    <row r="17" spans="1:23" ht="8.25" customHeight="1">
      <c r="A17" s="1" t="s">
        <v>124</v>
      </c>
      <c r="B17" s="1" t="s">
        <v>128</v>
      </c>
      <c r="C17" s="1" t="s">
        <v>123</v>
      </c>
      <c r="D17" s="1">
        <v>8</v>
      </c>
      <c r="E17" s="1">
        <v>87</v>
      </c>
      <c r="F17" s="1">
        <v>10</v>
      </c>
      <c r="G17" s="1">
        <v>55</v>
      </c>
      <c r="H17" s="1">
        <v>0</v>
      </c>
      <c r="I17" s="1" t="s">
        <v>160</v>
      </c>
      <c r="J17" s="1" t="str">
        <f>IF(ステ入力型!$D$1=1,A17, )</f>
        <v>オリカウ</v>
      </c>
      <c r="K17" s="1" t="str">
        <f>IF(ステ計算型!$C$1=1,A17, )</f>
        <v>オリカウ</v>
      </c>
      <c r="M17" s="1" t="s">
        <v>194</v>
      </c>
      <c r="N17" s="1" t="str">
        <f>IF(ステ入力型!$D$1=1,M17, )</f>
        <v>ロストレンジャーグリーン</v>
      </c>
      <c r="O17" s="1" t="str">
        <f>IF(ステ計算型!$C$1=1,M17, )</f>
        <v>ロストレンジャーグリーン</v>
      </c>
      <c r="P17" s="1" t="s">
        <v>141</v>
      </c>
      <c r="Q17" s="1">
        <v>1.1000000000000001</v>
      </c>
      <c r="R17" s="1">
        <v>15</v>
      </c>
      <c r="S17" s="1">
        <v>1</v>
      </c>
      <c r="T17" s="1">
        <v>0</v>
      </c>
      <c r="U17" s="1">
        <v>0</v>
      </c>
      <c r="V17" s="1">
        <v>1</v>
      </c>
      <c r="W17" s="1">
        <v>0</v>
      </c>
    </row>
    <row r="18" spans="1:23" ht="8.25" customHeight="1">
      <c r="A18" s="1" t="s">
        <v>339</v>
      </c>
      <c r="B18" s="1" t="s">
        <v>128</v>
      </c>
      <c r="C18" s="1" t="s">
        <v>123</v>
      </c>
      <c r="D18" s="1">
        <v>9</v>
      </c>
      <c r="E18" s="1">
        <v>121</v>
      </c>
      <c r="F18" s="1">
        <v>10</v>
      </c>
      <c r="G18" s="1">
        <v>70</v>
      </c>
      <c r="H18" s="1">
        <v>0</v>
      </c>
      <c r="I18" s="1" t="s">
        <v>160</v>
      </c>
      <c r="J18" s="1" t="str">
        <f>IF(ステ入力型!$D$1=1,A18, )</f>
        <v>男ジャーマン</v>
      </c>
      <c r="K18" s="1" t="str">
        <f>IF(ステ計算型!$C$1=1,A18, )</f>
        <v>男ジャーマン</v>
      </c>
      <c r="M18" s="1" t="s">
        <v>195</v>
      </c>
      <c r="N18" s="1">
        <f>IF(ステ入力型!$D$1=2,M18, )</f>
        <v>0</v>
      </c>
      <c r="O18" s="1">
        <f>IF(ステ計算型!$C$1=2,M18, )</f>
        <v>0</v>
      </c>
      <c r="P18" s="1" t="s">
        <v>173</v>
      </c>
      <c r="Q18" s="1">
        <v>1.1000000000000001</v>
      </c>
      <c r="R18" s="1">
        <v>0</v>
      </c>
      <c r="S18" s="1">
        <v>1.1000000000000001</v>
      </c>
      <c r="T18" s="1">
        <v>0</v>
      </c>
      <c r="U18" s="1">
        <v>0</v>
      </c>
      <c r="V18" s="1">
        <v>1</v>
      </c>
      <c r="W18" s="1">
        <v>0</v>
      </c>
    </row>
    <row r="19" spans="1:23" ht="8.25" customHeight="1">
      <c r="A19" s="1" t="s">
        <v>144</v>
      </c>
      <c r="B19" s="1" t="s">
        <v>128</v>
      </c>
      <c r="C19" s="1" t="s">
        <v>123</v>
      </c>
      <c r="D19" s="1">
        <v>10</v>
      </c>
      <c r="E19" s="1">
        <v>147</v>
      </c>
      <c r="F19" s="1">
        <v>10</v>
      </c>
      <c r="G19" s="1">
        <v>98</v>
      </c>
      <c r="H19" s="1">
        <v>0</v>
      </c>
      <c r="I19" s="1" t="s">
        <v>160</v>
      </c>
      <c r="J19" s="1" t="str">
        <f>IF(ステ入力型!$D$1=1,A19, )</f>
        <v>男10服</v>
      </c>
      <c r="K19" s="1" t="str">
        <f>IF(ステ計算型!$C$1=1,A19, )</f>
        <v>男10服</v>
      </c>
      <c r="M19" s="1" t="s">
        <v>193</v>
      </c>
      <c r="N19" s="1" t="str">
        <f>IF(ステ入力型!$D$1=1,M19, )</f>
        <v>ロストレンジャーブルー</v>
      </c>
      <c r="O19" s="1" t="str">
        <f>IF(ステ計算型!$C$1=1,M19, )</f>
        <v>ロストレンジャーブルー</v>
      </c>
      <c r="P19" s="1" t="s">
        <v>141</v>
      </c>
      <c r="Q19" s="1">
        <v>1.1000000000000001</v>
      </c>
      <c r="R19" s="1">
        <v>0</v>
      </c>
      <c r="S19" s="1">
        <v>1.1000000000000001</v>
      </c>
      <c r="T19" s="1">
        <v>0</v>
      </c>
      <c r="U19" s="1">
        <v>0</v>
      </c>
      <c r="V19" s="1">
        <v>1</v>
      </c>
      <c r="W19" s="1">
        <v>0</v>
      </c>
    </row>
    <row r="20" spans="1:23" ht="8.25" customHeight="1">
      <c r="A20" s="1" t="s">
        <v>145</v>
      </c>
      <c r="B20" s="1" t="s">
        <v>128</v>
      </c>
      <c r="C20" s="1" t="s">
        <v>123</v>
      </c>
      <c r="D20" s="1">
        <v>11</v>
      </c>
      <c r="E20" s="1">
        <v>177</v>
      </c>
      <c r="F20" s="1">
        <v>10</v>
      </c>
      <c r="G20" s="1">
        <v>137</v>
      </c>
      <c r="H20" s="1">
        <v>0</v>
      </c>
      <c r="I20" s="1" t="s">
        <v>160</v>
      </c>
      <c r="J20" s="1" t="str">
        <f>IF(ステ入力型!$D$1=1,A20, )</f>
        <v>男11服</v>
      </c>
      <c r="K20" s="1" t="str">
        <f>IF(ステ計算型!$C$1=1,A20, )</f>
        <v>男11服</v>
      </c>
      <c r="M20" s="1" t="s">
        <v>196</v>
      </c>
      <c r="N20" s="1" t="str">
        <f>IF(ステ入力型!$D$1=1,M20, )</f>
        <v>戦国武者鎧(男)</v>
      </c>
      <c r="O20" s="1" t="str">
        <f>IF(ステ計算型!$C$1=1,M20, )</f>
        <v>戦国武者鎧(男)</v>
      </c>
      <c r="P20" s="1" t="s">
        <v>141</v>
      </c>
      <c r="Q20" s="1">
        <v>1.1499999999999999</v>
      </c>
      <c r="R20" s="1">
        <v>5</v>
      </c>
      <c r="S20" s="1">
        <v>1</v>
      </c>
      <c r="T20" s="1">
        <v>80</v>
      </c>
      <c r="U20" s="1">
        <v>0</v>
      </c>
      <c r="V20" s="1">
        <v>1</v>
      </c>
      <c r="W20" s="1">
        <v>0</v>
      </c>
    </row>
    <row r="21" spans="1:23" ht="8.25" customHeight="1">
      <c r="A21" s="1" t="s">
        <v>332</v>
      </c>
      <c r="B21" s="1" t="s">
        <v>128</v>
      </c>
      <c r="C21" s="1" t="s">
        <v>123</v>
      </c>
      <c r="D21" s="1">
        <v>7</v>
      </c>
      <c r="E21" s="1">
        <v>85</v>
      </c>
      <c r="F21" s="1">
        <v>10</v>
      </c>
      <c r="G21" s="1">
        <v>36</v>
      </c>
      <c r="H21" s="1">
        <v>0</v>
      </c>
      <c r="I21" s="1" t="s">
        <v>160</v>
      </c>
      <c r="J21" s="1" t="str">
        <f>IF(ステ入力型!$D$1=1,A21, )</f>
        <v>男3級職服</v>
      </c>
      <c r="K21" s="1" t="str">
        <f>IF(ステ計算型!$C$1=1,A21, )</f>
        <v>男3級職服</v>
      </c>
      <c r="M21" s="1" t="s">
        <v>197</v>
      </c>
      <c r="N21" s="1">
        <f>IF(ステ入力型!$D$1=2,M21, )</f>
        <v>0</v>
      </c>
      <c r="O21" s="1">
        <f>IF(ステ計算型!$C$1=2,M21, )</f>
        <v>0</v>
      </c>
      <c r="P21" s="1" t="s">
        <v>173</v>
      </c>
      <c r="Q21" s="1">
        <v>1.1499999999999999</v>
      </c>
      <c r="R21" s="1">
        <v>5</v>
      </c>
      <c r="S21" s="1">
        <v>1</v>
      </c>
      <c r="T21" s="1">
        <v>80</v>
      </c>
      <c r="U21" s="1">
        <v>0</v>
      </c>
      <c r="V21" s="1">
        <v>1</v>
      </c>
      <c r="W21" s="1">
        <v>0</v>
      </c>
    </row>
    <row r="22" spans="1:23" ht="8.25" customHeight="1">
      <c r="A22" s="1" t="s">
        <v>333</v>
      </c>
      <c r="B22" s="1" t="s">
        <v>128</v>
      </c>
      <c r="C22" s="1" t="s">
        <v>123</v>
      </c>
      <c r="D22" s="1">
        <v>8</v>
      </c>
      <c r="E22" s="1">
        <v>113</v>
      </c>
      <c r="F22" s="1">
        <v>10</v>
      </c>
      <c r="G22" s="1">
        <v>49</v>
      </c>
      <c r="H22" s="1">
        <v>0</v>
      </c>
      <c r="I22" s="1" t="s">
        <v>160</v>
      </c>
      <c r="J22" s="1" t="str">
        <f>IF(ステ入力型!$D$1=1,A22, )</f>
        <v>男2級職服</v>
      </c>
      <c r="K22" s="1" t="str">
        <f>IF(ステ計算型!$C$1=1,A22, )</f>
        <v>男2級職服</v>
      </c>
      <c r="M22" s="1" t="s">
        <v>198</v>
      </c>
      <c r="N22" s="1" t="str">
        <f>IF(ステ入力型!$D$1=1,M22, )</f>
        <v>忍者コスチューム限定カラー</v>
      </c>
      <c r="O22" s="1" t="str">
        <f>IF(ステ計算型!$C$1=1,M22, )</f>
        <v>忍者コスチューム限定カラー</v>
      </c>
      <c r="P22" s="1" t="s">
        <v>141</v>
      </c>
      <c r="Q22" s="1">
        <v>1.1000000000000001</v>
      </c>
      <c r="R22" s="1">
        <v>0</v>
      </c>
      <c r="S22" s="1">
        <v>1.1000000000000001</v>
      </c>
      <c r="T22" s="1">
        <v>0</v>
      </c>
      <c r="U22" s="1">
        <v>0</v>
      </c>
      <c r="V22" s="1">
        <v>1</v>
      </c>
      <c r="W22" s="1">
        <v>0</v>
      </c>
    </row>
    <row r="23" spans="1:23" ht="8.25" customHeight="1">
      <c r="A23" s="1" t="s">
        <v>335</v>
      </c>
      <c r="B23" s="1" t="s">
        <v>128</v>
      </c>
      <c r="C23" s="1" t="s">
        <v>123</v>
      </c>
      <c r="D23" s="1">
        <v>9</v>
      </c>
      <c r="E23" s="1">
        <v>141</v>
      </c>
      <c r="F23" s="1">
        <v>10</v>
      </c>
      <c r="G23" s="1">
        <v>63</v>
      </c>
      <c r="H23" s="1">
        <v>0</v>
      </c>
      <c r="I23" s="1" t="s">
        <v>160</v>
      </c>
      <c r="J23" s="1" t="str">
        <f>IF(ステ入力型!$D$1=1,A23, )</f>
        <v>男1級職服</v>
      </c>
      <c r="K23" s="1" t="str">
        <f>IF(ステ計算型!$C$1=1,A23, )</f>
        <v>男1級職服</v>
      </c>
      <c r="M23" s="1" t="s">
        <v>199</v>
      </c>
      <c r="N23" s="1">
        <f>IF(ステ入力型!$D$1=2,M23, )</f>
        <v>0</v>
      </c>
      <c r="O23" s="1">
        <f>IF(ステ計算型!$C$1=2,M23, )</f>
        <v>0</v>
      </c>
      <c r="P23" s="1" t="s">
        <v>173</v>
      </c>
      <c r="Q23" s="1">
        <v>1.1000000000000001</v>
      </c>
      <c r="R23" s="1">
        <v>10</v>
      </c>
      <c r="S23" s="1">
        <v>1</v>
      </c>
      <c r="T23" s="1">
        <v>0</v>
      </c>
      <c r="U23" s="1">
        <v>0</v>
      </c>
      <c r="V23" s="1">
        <v>1</v>
      </c>
      <c r="W23" s="1">
        <v>0</v>
      </c>
    </row>
    <row r="24" spans="1:23" ht="8.25" customHeight="1">
      <c r="A24" s="1" t="s">
        <v>126</v>
      </c>
      <c r="B24" s="1" t="s">
        <v>128</v>
      </c>
      <c r="C24" s="1" t="s">
        <v>127</v>
      </c>
      <c r="D24" s="1">
        <v>7</v>
      </c>
      <c r="E24" s="1">
        <v>66</v>
      </c>
      <c r="F24" s="1">
        <v>10</v>
      </c>
      <c r="G24" s="1">
        <v>37</v>
      </c>
      <c r="H24" s="1">
        <v>0</v>
      </c>
      <c r="I24" s="1" t="s">
        <v>160</v>
      </c>
      <c r="J24" s="1">
        <f>IF(ステ入力型!$D$1=2,A24, )</f>
        <v>0</v>
      </c>
      <c r="K24" s="1">
        <f>IF(ステ計算型!$C$1=2,A24, )</f>
        <v>0</v>
      </c>
      <c r="M24" s="1" t="s">
        <v>200</v>
      </c>
      <c r="N24" s="1" t="str">
        <f>IF(ステ入力型!$D$1=1,M24, )</f>
        <v>神官衣装(男)</v>
      </c>
      <c r="O24" s="1" t="str">
        <f>IF(ステ計算型!$C$1=1,M24, )</f>
        <v>神官衣装(男)</v>
      </c>
      <c r="P24" s="1" t="s">
        <v>141</v>
      </c>
      <c r="Q24" s="1">
        <v>1.1000000000000001</v>
      </c>
      <c r="R24" s="1">
        <v>5</v>
      </c>
      <c r="S24" s="1">
        <v>1</v>
      </c>
      <c r="T24" s="1">
        <v>0</v>
      </c>
      <c r="U24" s="1">
        <v>0</v>
      </c>
      <c r="V24" s="1">
        <v>1</v>
      </c>
      <c r="W24" s="1">
        <v>0</v>
      </c>
    </row>
    <row r="25" spans="1:23" ht="8.25" customHeight="1">
      <c r="A25" s="1" t="s">
        <v>340</v>
      </c>
      <c r="B25" s="1" t="s">
        <v>128</v>
      </c>
      <c r="C25" s="1" t="s">
        <v>127</v>
      </c>
      <c r="D25" s="1">
        <v>8</v>
      </c>
      <c r="E25" s="1">
        <v>97</v>
      </c>
      <c r="F25" s="1">
        <v>10</v>
      </c>
      <c r="G25" s="1">
        <v>55</v>
      </c>
      <c r="H25" s="1">
        <v>0</v>
      </c>
      <c r="I25" s="1" t="s">
        <v>160</v>
      </c>
      <c r="J25" s="1">
        <f>IF(ステ入力型!$D$1=2,A25, )</f>
        <v>0</v>
      </c>
      <c r="K25" s="1">
        <f>IF(ステ計算型!$C$1=2,A25, )</f>
        <v>0</v>
      </c>
      <c r="M25" s="1" t="s">
        <v>201</v>
      </c>
      <c r="N25" s="1">
        <f>IF(ステ入力型!$D$1=2,M25, )</f>
        <v>0</v>
      </c>
      <c r="O25" s="1">
        <f>IF(ステ計算型!$C$1=2,M25, )</f>
        <v>0</v>
      </c>
      <c r="P25" s="1" t="s">
        <v>173</v>
      </c>
      <c r="Q25" s="1">
        <v>1.1000000000000001</v>
      </c>
      <c r="R25" s="1">
        <v>5</v>
      </c>
      <c r="S25" s="1">
        <v>1</v>
      </c>
      <c r="T25" s="1">
        <v>0</v>
      </c>
      <c r="U25" s="1">
        <v>0</v>
      </c>
      <c r="V25" s="1">
        <v>1</v>
      </c>
      <c r="W25" s="1">
        <v>0</v>
      </c>
    </row>
    <row r="26" spans="1:23" ht="8.25" customHeight="1">
      <c r="A26" s="1" t="s">
        <v>146</v>
      </c>
      <c r="B26" s="1" t="s">
        <v>128</v>
      </c>
      <c r="C26" s="1" t="s">
        <v>127</v>
      </c>
      <c r="D26" s="1">
        <v>11</v>
      </c>
      <c r="E26" s="1">
        <v>146</v>
      </c>
      <c r="F26" s="1">
        <v>10</v>
      </c>
      <c r="G26" s="1">
        <v>81</v>
      </c>
      <c r="H26" s="1">
        <v>0</v>
      </c>
      <c r="I26" s="1" t="s">
        <v>160</v>
      </c>
      <c r="J26" s="1">
        <f>IF(ステ入力型!$D$1=2,A26, )</f>
        <v>0</v>
      </c>
      <c r="K26" s="1">
        <f>IF(ステ計算型!$C$1=2,A26, )</f>
        <v>0</v>
      </c>
      <c r="M26" s="1" t="s">
        <v>202</v>
      </c>
      <c r="N26" s="1" t="str">
        <f>IF(ステ入力型!$D$1=1,M26, )</f>
        <v>改良型忍衣装(男)</v>
      </c>
      <c r="O26" s="1" t="str">
        <f>IF(ステ計算型!$C$1=1,M26, )</f>
        <v>改良型忍衣装(男)</v>
      </c>
      <c r="P26" s="1" t="s">
        <v>141</v>
      </c>
      <c r="Q26" s="1">
        <v>1.1000000000000001</v>
      </c>
      <c r="R26" s="1">
        <v>15</v>
      </c>
      <c r="S26" s="1">
        <v>1</v>
      </c>
      <c r="T26" s="1">
        <v>0</v>
      </c>
      <c r="U26" s="1">
        <v>0</v>
      </c>
      <c r="V26" s="1">
        <v>1</v>
      </c>
      <c r="W26" s="1">
        <v>200</v>
      </c>
    </row>
    <row r="27" spans="1:23" ht="8.25" customHeight="1">
      <c r="A27" s="1" t="s">
        <v>336</v>
      </c>
      <c r="B27" s="1" t="s">
        <v>128</v>
      </c>
      <c r="C27" s="1" t="s">
        <v>127</v>
      </c>
      <c r="D27" s="1">
        <v>7</v>
      </c>
      <c r="E27" s="1">
        <v>70</v>
      </c>
      <c r="F27" s="1">
        <v>10</v>
      </c>
      <c r="G27" s="1">
        <v>27</v>
      </c>
      <c r="H27" s="1">
        <v>0</v>
      </c>
      <c r="I27" s="1" t="s">
        <v>160</v>
      </c>
      <c r="J27" s="1">
        <f>IF(ステ入力型!$D$1=2,A27, )</f>
        <v>0</v>
      </c>
      <c r="K27" s="1">
        <f>IF(ステ計算型!$C$1=2,A27, )</f>
        <v>0</v>
      </c>
      <c r="M27" s="1" t="s">
        <v>203</v>
      </c>
      <c r="N27" s="1">
        <f>IF(ステ入力型!$D$1=2,M27, )</f>
        <v>0</v>
      </c>
      <c r="O27" s="1">
        <f>IF(ステ計算型!$C$1=2,M27, )</f>
        <v>0</v>
      </c>
      <c r="P27" s="1" t="s">
        <v>173</v>
      </c>
      <c r="Q27" s="1">
        <v>1.1000000000000001</v>
      </c>
      <c r="R27" s="1">
        <v>15</v>
      </c>
      <c r="S27" s="1">
        <v>1</v>
      </c>
      <c r="T27" s="1">
        <v>0</v>
      </c>
      <c r="U27" s="1">
        <v>0</v>
      </c>
      <c r="V27" s="1">
        <v>1</v>
      </c>
      <c r="W27" s="1">
        <v>200</v>
      </c>
    </row>
    <row r="28" spans="1:23" ht="8.25" customHeight="1">
      <c r="A28" s="1" t="s">
        <v>337</v>
      </c>
      <c r="B28" s="1" t="s">
        <v>128</v>
      </c>
      <c r="C28" s="1" t="s">
        <v>127</v>
      </c>
      <c r="D28" s="1">
        <v>8</v>
      </c>
      <c r="E28" s="1">
        <v>85</v>
      </c>
      <c r="F28" s="1">
        <v>10</v>
      </c>
      <c r="G28" s="1">
        <v>33</v>
      </c>
      <c r="H28" s="1">
        <v>0</v>
      </c>
      <c r="I28" s="1" t="s">
        <v>160</v>
      </c>
      <c r="J28" s="1">
        <f>IF(ステ入力型!$D$1=2,A28, )</f>
        <v>0</v>
      </c>
      <c r="K28" s="1">
        <f>IF(ステ計算型!$C$1=2,A28, )</f>
        <v>0</v>
      </c>
      <c r="M28" s="1" t="s">
        <v>205</v>
      </c>
      <c r="N28" s="1" t="str">
        <f>IF(ステ入力型!$D$1=1,M28, )</f>
        <v>台東高校制服(男)</v>
      </c>
      <c r="O28" s="1" t="str">
        <f>IF(ステ計算型!$C$1=1,M28, )</f>
        <v>台東高校制服(男)</v>
      </c>
      <c r="P28" s="1" t="s">
        <v>141</v>
      </c>
      <c r="Q28" s="1">
        <v>1.1000000000000001</v>
      </c>
      <c r="R28" s="1">
        <v>0</v>
      </c>
      <c r="S28" s="1">
        <v>1</v>
      </c>
      <c r="T28" s="1">
        <v>0</v>
      </c>
      <c r="U28" s="1">
        <v>0</v>
      </c>
      <c r="V28" s="1">
        <v>1.03</v>
      </c>
      <c r="W28" s="1">
        <v>0</v>
      </c>
    </row>
    <row r="29" spans="1:23" ht="8.25" customHeight="1">
      <c r="A29" s="1" t="s">
        <v>338</v>
      </c>
      <c r="B29" s="1" t="s">
        <v>128</v>
      </c>
      <c r="C29" s="1" t="s">
        <v>127</v>
      </c>
      <c r="D29" s="1">
        <v>9</v>
      </c>
      <c r="E29" s="1">
        <v>113</v>
      </c>
      <c r="F29" s="1">
        <v>10</v>
      </c>
      <c r="G29" s="1">
        <v>49</v>
      </c>
      <c r="H29" s="1">
        <v>0</v>
      </c>
      <c r="I29" s="1" t="s">
        <v>160</v>
      </c>
      <c r="J29" s="1">
        <f>IF(ステ入力型!$D$1=2,A29, )</f>
        <v>0</v>
      </c>
      <c r="K29" s="1">
        <f>IF(ステ計算型!$C$1=2,A29, )</f>
        <v>0</v>
      </c>
      <c r="M29" s="1" t="s">
        <v>206</v>
      </c>
      <c r="N29" s="1">
        <f>IF(ステ入力型!$D$1=2,M29, )</f>
        <v>0</v>
      </c>
      <c r="O29" s="1">
        <f>IF(ステ計算型!$C$1=2,M29, )</f>
        <v>0</v>
      </c>
      <c r="P29" s="1" t="s">
        <v>173</v>
      </c>
      <c r="Q29" s="1">
        <v>1.1000000000000001</v>
      </c>
      <c r="R29" s="1">
        <v>0</v>
      </c>
      <c r="S29" s="1">
        <v>1</v>
      </c>
      <c r="T29" s="1">
        <v>0</v>
      </c>
      <c r="U29" s="1">
        <v>0</v>
      </c>
      <c r="V29" s="1">
        <v>1.03</v>
      </c>
      <c r="W29" s="1">
        <v>0</v>
      </c>
    </row>
    <row r="30" spans="1:23" ht="8.25" customHeight="1">
      <c r="A30" s="1" t="s">
        <v>158</v>
      </c>
      <c r="C30" s="1" t="s">
        <v>160</v>
      </c>
      <c r="D30" s="1" t="s">
        <v>160</v>
      </c>
      <c r="E30" s="1">
        <v>0</v>
      </c>
      <c r="F30" s="1">
        <v>0</v>
      </c>
      <c r="G30" s="1">
        <v>0</v>
      </c>
      <c r="H30" s="1">
        <v>0</v>
      </c>
      <c r="I30" s="1" t="s">
        <v>160</v>
      </c>
      <c r="J30" s="1" t="s">
        <v>251</v>
      </c>
      <c r="K30" s="1" t="s">
        <v>251</v>
      </c>
      <c r="M30" s="1" t="s">
        <v>207</v>
      </c>
      <c r="N30" s="1" t="str">
        <f>IF(ステ入力型!$D$1=1,M30, )</f>
        <v>暗殺者の装束</v>
      </c>
      <c r="O30" s="1" t="str">
        <f>IF(ステ計算型!$C$1=1,M30, )</f>
        <v>暗殺者の装束</v>
      </c>
      <c r="P30" s="1" t="s">
        <v>141</v>
      </c>
      <c r="Q30" s="1">
        <v>1.1499999999999999</v>
      </c>
      <c r="R30" s="1">
        <v>0</v>
      </c>
      <c r="S30" s="1">
        <v>1</v>
      </c>
      <c r="T30" s="1">
        <v>0</v>
      </c>
      <c r="U30" s="1">
        <v>30</v>
      </c>
      <c r="V30" s="1">
        <v>1</v>
      </c>
      <c r="W30" s="1">
        <v>0</v>
      </c>
    </row>
    <row r="31" spans="1:23" ht="8.25" customHeight="1">
      <c r="A31" s="1" t="s">
        <v>130</v>
      </c>
      <c r="B31" s="1" t="s">
        <v>129</v>
      </c>
      <c r="C31" s="1" t="s">
        <v>127</v>
      </c>
      <c r="D31" s="1">
        <v>7</v>
      </c>
      <c r="E31" s="1">
        <v>125</v>
      </c>
      <c r="F31" s="1">
        <v>10</v>
      </c>
      <c r="G31" s="1">
        <v>52</v>
      </c>
      <c r="H31" s="1">
        <v>0</v>
      </c>
      <c r="I31" s="1" t="s">
        <v>156</v>
      </c>
      <c r="J31" s="1">
        <f>IF(ステ入力型!$D$1=2,A31, )</f>
        <v>0</v>
      </c>
      <c r="K31" s="1">
        <f>IF(ステ計算型!$C$1=2,A31, )</f>
        <v>0</v>
      </c>
      <c r="M31" s="1" t="s">
        <v>208</v>
      </c>
      <c r="N31" s="1">
        <f>IF(ステ入力型!$D$1=2,M31, )</f>
        <v>0</v>
      </c>
      <c r="O31" s="1">
        <f>IF(ステ計算型!$C$1=2,M31, )</f>
        <v>0</v>
      </c>
      <c r="P31" s="1" t="s">
        <v>173</v>
      </c>
      <c r="Q31" s="1">
        <v>1.1499999999999999</v>
      </c>
      <c r="R31" s="1">
        <v>0</v>
      </c>
      <c r="S31" s="1">
        <v>1</v>
      </c>
      <c r="T31" s="1">
        <v>0</v>
      </c>
      <c r="U31" s="1">
        <v>30</v>
      </c>
      <c r="V31" s="1">
        <v>1</v>
      </c>
      <c r="W31" s="1">
        <v>0</v>
      </c>
    </row>
    <row r="32" spans="1:23" ht="8.25" customHeight="1">
      <c r="A32" s="1" t="s">
        <v>131</v>
      </c>
      <c r="B32" s="1" t="s">
        <v>129</v>
      </c>
      <c r="C32" s="1" t="s">
        <v>127</v>
      </c>
      <c r="D32" s="1">
        <v>10</v>
      </c>
      <c r="E32" s="1">
        <v>218</v>
      </c>
      <c r="F32" s="1">
        <v>10</v>
      </c>
      <c r="G32" s="1">
        <v>130</v>
      </c>
      <c r="H32" s="1">
        <v>0</v>
      </c>
      <c r="I32" s="1" t="s">
        <v>156</v>
      </c>
      <c r="J32" s="1">
        <f>IF(ステ入力型!$D$1=2,A32, )</f>
        <v>0</v>
      </c>
      <c r="K32" s="1">
        <f>IF(ステ計算型!$C$1=2,A32, )</f>
        <v>0</v>
      </c>
      <c r="M32" s="1" t="s">
        <v>158</v>
      </c>
      <c r="N32" s="1" t="s">
        <v>158</v>
      </c>
      <c r="O32" s="1" t="s">
        <v>158</v>
      </c>
      <c r="P32" s="1" t="s">
        <v>160</v>
      </c>
      <c r="Q32" s="1">
        <v>1</v>
      </c>
      <c r="R32" s="1">
        <v>0</v>
      </c>
      <c r="S32" s="1">
        <v>1</v>
      </c>
      <c r="T32" s="1">
        <v>0</v>
      </c>
      <c r="U32" s="1">
        <v>0</v>
      </c>
      <c r="V32" s="1">
        <v>1</v>
      </c>
      <c r="W32" s="1">
        <v>0</v>
      </c>
    </row>
    <row r="33" spans="1:23" ht="8.25" customHeight="1">
      <c r="A33" s="1" t="s">
        <v>158</v>
      </c>
      <c r="C33" s="1" t="s">
        <v>160</v>
      </c>
      <c r="D33" s="1" t="s">
        <v>160</v>
      </c>
      <c r="E33" s="1">
        <v>0</v>
      </c>
      <c r="F33" s="1">
        <v>0</v>
      </c>
      <c r="G33" s="1">
        <v>0</v>
      </c>
      <c r="H33" s="1">
        <v>0</v>
      </c>
      <c r="J33" s="1" t="s">
        <v>251</v>
      </c>
      <c r="K33" s="1" t="s">
        <v>251</v>
      </c>
      <c r="M33" s="1" t="s">
        <v>183</v>
      </c>
      <c r="N33" s="1" t="str">
        <f>IF(ステ入力型!$D$1=1,M33, )</f>
        <v>惰天使の翼(黒・白)</v>
      </c>
      <c r="O33" s="1" t="str">
        <f>IF(ステ計算型!$C$1=1,M33, )</f>
        <v>惰天使の翼(黒・白)</v>
      </c>
      <c r="P33" s="1" t="s">
        <v>141</v>
      </c>
      <c r="Q33" s="1">
        <v>1.1000000000000001</v>
      </c>
      <c r="R33" s="1">
        <v>15</v>
      </c>
      <c r="S33" s="1">
        <v>1</v>
      </c>
      <c r="T33" s="1">
        <v>0</v>
      </c>
      <c r="U33" s="1">
        <v>0</v>
      </c>
      <c r="V33" s="1">
        <v>1</v>
      </c>
      <c r="W33" s="1">
        <v>0</v>
      </c>
    </row>
    <row r="34" spans="1:23" ht="8.25" customHeight="1">
      <c r="A34" s="1" t="s">
        <v>133</v>
      </c>
      <c r="B34" s="1" t="s">
        <v>132</v>
      </c>
      <c r="C34" s="1" t="s">
        <v>127</v>
      </c>
      <c r="D34" s="1">
        <v>7</v>
      </c>
      <c r="E34" s="1">
        <v>31</v>
      </c>
      <c r="F34" s="1">
        <v>5</v>
      </c>
      <c r="G34" s="1">
        <v>4</v>
      </c>
      <c r="H34" s="1">
        <v>0</v>
      </c>
      <c r="J34" s="1">
        <f>IF(ステ入力型!$D$1=2,A34, )</f>
        <v>0</v>
      </c>
      <c r="K34" s="1">
        <f>IF(ステ計算型!$C$1=2,A34, )</f>
        <v>0</v>
      </c>
      <c r="M34" s="1" t="s">
        <v>184</v>
      </c>
      <c r="N34" s="1">
        <f>IF(ステ入力型!$D$1=2,M34, )</f>
        <v>0</v>
      </c>
      <c r="O34" s="1">
        <f>IF(ステ計算型!$C$1=2,M34, )</f>
        <v>0</v>
      </c>
      <c r="P34" s="1" t="s">
        <v>173</v>
      </c>
      <c r="Q34" s="1">
        <v>1.1000000000000001</v>
      </c>
      <c r="R34" s="1">
        <v>15</v>
      </c>
      <c r="S34" s="1">
        <v>1</v>
      </c>
      <c r="T34" s="1">
        <v>0</v>
      </c>
      <c r="U34" s="1">
        <v>0</v>
      </c>
      <c r="V34" s="1">
        <v>1</v>
      </c>
      <c r="W34" s="1">
        <v>0</v>
      </c>
    </row>
    <row r="35" spans="1:23" ht="8.25" customHeight="1">
      <c r="A35" s="1" t="s">
        <v>134</v>
      </c>
      <c r="B35" s="1" t="s">
        <v>132</v>
      </c>
      <c r="C35" s="1" t="s">
        <v>127</v>
      </c>
      <c r="D35" s="1">
        <v>8</v>
      </c>
      <c r="E35" s="1">
        <v>40</v>
      </c>
      <c r="F35" s="1">
        <v>5</v>
      </c>
      <c r="G35" s="1">
        <v>4</v>
      </c>
      <c r="H35" s="1">
        <v>0</v>
      </c>
      <c r="J35" s="1">
        <f>IF(ステ入力型!$D$1=2,A35, )</f>
        <v>0</v>
      </c>
      <c r="K35" s="1">
        <f>IF(ステ計算型!$C$1=2,A35, )</f>
        <v>0</v>
      </c>
      <c r="M35" s="1" t="s">
        <v>185</v>
      </c>
      <c r="N35" s="1" t="str">
        <f>IF(ステ入力型!$D$1=1,M35, )</f>
        <v>Crest Wing(黒)</v>
      </c>
      <c r="O35" s="1" t="str">
        <f>IF(ステ計算型!$C$1=1,M35, )</f>
        <v>Crest Wing(黒)</v>
      </c>
      <c r="P35" s="1" t="s">
        <v>141</v>
      </c>
      <c r="Q35" s="1">
        <v>1.1000000000000001</v>
      </c>
      <c r="R35" s="1">
        <v>0</v>
      </c>
      <c r="S35" s="1">
        <v>1</v>
      </c>
      <c r="T35" s="1">
        <v>150</v>
      </c>
      <c r="U35" s="1">
        <v>0</v>
      </c>
      <c r="V35" s="1">
        <v>1</v>
      </c>
      <c r="W35" s="1">
        <v>0</v>
      </c>
    </row>
    <row r="36" spans="1:23" ht="8.25" customHeight="1">
      <c r="A36" s="1" t="s">
        <v>147</v>
      </c>
      <c r="B36" s="1" t="s">
        <v>132</v>
      </c>
      <c r="C36" s="1" t="s">
        <v>127</v>
      </c>
      <c r="D36" s="1">
        <v>10</v>
      </c>
      <c r="E36" s="1">
        <v>48</v>
      </c>
      <c r="F36" s="1">
        <v>5</v>
      </c>
      <c r="G36" s="1">
        <v>6</v>
      </c>
      <c r="H36" s="1">
        <v>0</v>
      </c>
      <c r="J36" s="1">
        <f>IF(ステ入力型!$D$1=2,A36, )</f>
        <v>0</v>
      </c>
      <c r="K36" s="1">
        <f>IF(ステ計算型!$C$1=2,A36, )</f>
        <v>0</v>
      </c>
      <c r="M36" s="1" t="s">
        <v>186</v>
      </c>
      <c r="N36" s="1">
        <f>IF(ステ入力型!$D$1=2,M36, )</f>
        <v>0</v>
      </c>
      <c r="O36" s="1">
        <f>IF(ステ計算型!$C$1=2,M36, )</f>
        <v>0</v>
      </c>
      <c r="P36" s="1" t="s">
        <v>173</v>
      </c>
      <c r="Q36" s="1">
        <v>1.1000000000000001</v>
      </c>
      <c r="R36" s="1">
        <v>0</v>
      </c>
      <c r="S36" s="1">
        <v>1</v>
      </c>
      <c r="T36" s="1">
        <v>150</v>
      </c>
      <c r="U36" s="1">
        <v>0</v>
      </c>
      <c r="V36" s="1">
        <v>1</v>
      </c>
      <c r="W36" s="1">
        <v>0</v>
      </c>
    </row>
    <row r="37" spans="1:23" ht="8.25" customHeight="1">
      <c r="A37" s="1" t="s">
        <v>146</v>
      </c>
      <c r="B37" s="1" t="s">
        <v>132</v>
      </c>
      <c r="C37" s="1" t="s">
        <v>127</v>
      </c>
      <c r="D37" s="1">
        <v>11</v>
      </c>
      <c r="E37" s="1">
        <v>57</v>
      </c>
      <c r="F37" s="1">
        <v>5</v>
      </c>
      <c r="G37" s="1">
        <v>1</v>
      </c>
      <c r="H37" s="1">
        <v>0</v>
      </c>
      <c r="J37" s="1">
        <f>IF(ステ入力型!$D$1=2,A37, )</f>
        <v>0</v>
      </c>
      <c r="K37" s="1">
        <f>IF(ステ計算型!$C$1=2,A37, )</f>
        <v>0</v>
      </c>
      <c r="M37" s="1" t="s">
        <v>187</v>
      </c>
      <c r="N37" s="1" t="str">
        <f>IF(ステ入力型!$D$1=1,M37, )</f>
        <v>Crest Wing(青)</v>
      </c>
      <c r="O37" s="1" t="str">
        <f>IF(ステ計算型!$C$1=1,M37, )</f>
        <v>Crest Wing(青)</v>
      </c>
      <c r="P37" s="1" t="s">
        <v>141</v>
      </c>
      <c r="Q37" s="1">
        <v>1.05</v>
      </c>
      <c r="R37" s="1">
        <v>10</v>
      </c>
      <c r="S37" s="1">
        <v>1</v>
      </c>
      <c r="T37" s="1">
        <v>100</v>
      </c>
      <c r="U37" s="1">
        <v>0</v>
      </c>
      <c r="V37" s="1">
        <v>1</v>
      </c>
      <c r="W37" s="1">
        <v>0</v>
      </c>
    </row>
    <row r="38" spans="1:23" ht="8.25" customHeight="1">
      <c r="A38" s="1" t="s">
        <v>158</v>
      </c>
      <c r="C38" s="1" t="s">
        <v>160</v>
      </c>
      <c r="D38" s="1" t="s">
        <v>160</v>
      </c>
      <c r="E38" s="1">
        <v>0</v>
      </c>
      <c r="F38" s="1">
        <v>0</v>
      </c>
      <c r="G38" s="1">
        <v>0</v>
      </c>
      <c r="H38" s="1">
        <v>0</v>
      </c>
      <c r="I38" s="1" t="s">
        <v>160</v>
      </c>
      <c r="J38" s="1" t="s">
        <v>251</v>
      </c>
      <c r="K38" s="1" t="s">
        <v>251</v>
      </c>
      <c r="M38" s="1" t="s">
        <v>188</v>
      </c>
      <c r="N38" s="1">
        <f>IF(ステ入力型!$D$1=2,M38, )</f>
        <v>0</v>
      </c>
      <c r="O38" s="1">
        <f>IF(ステ計算型!$C$1=2,M38, )</f>
        <v>0</v>
      </c>
      <c r="P38" s="1" t="s">
        <v>173</v>
      </c>
      <c r="Q38" s="1">
        <v>1.05</v>
      </c>
      <c r="R38" s="1">
        <v>10</v>
      </c>
      <c r="S38" s="1">
        <v>1</v>
      </c>
      <c r="T38" s="1">
        <v>100</v>
      </c>
      <c r="U38" s="1">
        <v>0</v>
      </c>
      <c r="V38" s="1">
        <v>1</v>
      </c>
      <c r="W38" s="1">
        <v>0</v>
      </c>
    </row>
    <row r="39" spans="1:23" ht="8.25" customHeight="1">
      <c r="A39" s="1" t="s">
        <v>148</v>
      </c>
      <c r="B39" s="1" t="s">
        <v>135</v>
      </c>
      <c r="C39" s="1" t="s">
        <v>123</v>
      </c>
      <c r="D39" s="1">
        <v>7</v>
      </c>
      <c r="E39" s="1">
        <v>158</v>
      </c>
      <c r="F39" s="1">
        <v>24</v>
      </c>
      <c r="G39" s="1">
        <v>102</v>
      </c>
      <c r="H39" s="1">
        <v>38</v>
      </c>
      <c r="I39" s="1" t="s">
        <v>159</v>
      </c>
      <c r="J39" s="1" t="str">
        <f>IF(ステ入力型!$D$1=1,A39, )</f>
        <v>男Ｂスーツ</v>
      </c>
      <c r="K39" s="1" t="str">
        <f>IF(ステ計算型!$C$1=1,A39, )</f>
        <v>男Ｂスーツ</v>
      </c>
    </row>
    <row r="40" spans="1:23" ht="8.25" customHeight="1">
      <c r="A40" s="1" t="s">
        <v>149</v>
      </c>
      <c r="B40" s="1" t="s">
        <v>135</v>
      </c>
      <c r="C40" s="1" t="s">
        <v>123</v>
      </c>
      <c r="D40" s="1">
        <v>8</v>
      </c>
      <c r="E40" s="1">
        <v>205</v>
      </c>
      <c r="F40" s="1">
        <v>24</v>
      </c>
      <c r="G40" s="1">
        <v>153</v>
      </c>
      <c r="H40" s="1">
        <v>40</v>
      </c>
      <c r="I40" s="1" t="s">
        <v>159</v>
      </c>
      <c r="J40" s="1" t="str">
        <f>IF(ステ入力型!$D$1=1,A40, )</f>
        <v>男Ａスーツ</v>
      </c>
      <c r="K40" s="1" t="str">
        <f>IF(ステ計算型!$C$1=1,A40, )</f>
        <v>男Ａスーツ</v>
      </c>
    </row>
    <row r="41" spans="1:23" ht="8.25" customHeight="1">
      <c r="A41" s="1" t="s">
        <v>150</v>
      </c>
      <c r="B41" s="1" t="s">
        <v>135</v>
      </c>
      <c r="C41" s="1" t="s">
        <v>123</v>
      </c>
      <c r="D41" s="1">
        <v>9</v>
      </c>
      <c r="E41" s="1">
        <v>272</v>
      </c>
      <c r="F41" s="1">
        <v>24</v>
      </c>
      <c r="G41" s="1">
        <v>229</v>
      </c>
      <c r="H41" s="1">
        <v>42</v>
      </c>
      <c r="I41" s="1" t="s">
        <v>159</v>
      </c>
      <c r="J41" s="1" t="str">
        <f>IF(ステ入力型!$D$1=1,A41, )</f>
        <v>男Ｓスーツ</v>
      </c>
      <c r="K41" s="1" t="str">
        <f>IF(ステ計算型!$C$1=1,A41, )</f>
        <v>男Ｓスーツ</v>
      </c>
    </row>
    <row r="42" spans="1:23" ht="8.25" customHeight="1">
      <c r="A42" s="1" t="s">
        <v>151</v>
      </c>
      <c r="B42" s="1" t="s">
        <v>135</v>
      </c>
      <c r="C42" s="1" t="s">
        <v>123</v>
      </c>
      <c r="D42" s="1">
        <v>10</v>
      </c>
      <c r="E42" s="1">
        <v>349</v>
      </c>
      <c r="F42" s="1">
        <v>24</v>
      </c>
      <c r="G42" s="1">
        <v>344</v>
      </c>
      <c r="H42" s="1">
        <v>44</v>
      </c>
      <c r="I42" s="1" t="s">
        <v>159</v>
      </c>
      <c r="J42" s="1" t="str">
        <f>IF(ステ入力型!$D$1=1,A42, )</f>
        <v>男ＳＳスーツ</v>
      </c>
      <c r="K42" s="1" t="str">
        <f>IF(ステ計算型!$C$1=1,A42, )</f>
        <v>男ＳＳスーツ</v>
      </c>
    </row>
    <row r="43" spans="1:23" ht="8.25" customHeight="1">
      <c r="A43" s="1" t="s">
        <v>374</v>
      </c>
      <c r="B43" s="1" t="s">
        <v>135</v>
      </c>
      <c r="C43" s="1" t="s">
        <v>123</v>
      </c>
      <c r="D43" s="1">
        <v>11</v>
      </c>
      <c r="E43" s="1">
        <v>447</v>
      </c>
      <c r="F43" s="1">
        <v>24</v>
      </c>
      <c r="G43" s="1">
        <v>516</v>
      </c>
      <c r="H43" s="1">
        <v>46</v>
      </c>
      <c r="I43" s="1" t="s">
        <v>159</v>
      </c>
      <c r="J43" s="1" t="str">
        <f>IF(ステ入力型!$D$1=1,A43, )</f>
        <v>男SSSスーツ</v>
      </c>
      <c r="K43" s="1" t="str">
        <f>IF(ステ計算型!$C$1=1,A43, )</f>
        <v>男SSSスーツ</v>
      </c>
    </row>
    <row r="44" spans="1:23" ht="8.25" customHeight="1">
      <c r="A44" s="1" t="s">
        <v>152</v>
      </c>
      <c r="B44" s="1" t="s">
        <v>135</v>
      </c>
      <c r="C44" s="1" t="s">
        <v>127</v>
      </c>
      <c r="D44" s="1">
        <v>7</v>
      </c>
      <c r="E44" s="1">
        <v>158</v>
      </c>
      <c r="F44" s="1">
        <v>24</v>
      </c>
      <c r="G44" s="1">
        <v>102</v>
      </c>
      <c r="H44" s="1">
        <v>38</v>
      </c>
      <c r="I44" s="1" t="s">
        <v>159</v>
      </c>
      <c r="J44" s="1">
        <f>IF(ステ入力型!$D$1=2,A44, )</f>
        <v>0</v>
      </c>
      <c r="K44" s="1">
        <f>IF(ステ計算型!$C$1=2,A44, )</f>
        <v>0</v>
      </c>
    </row>
    <row r="45" spans="1:23" ht="8.25" customHeight="1">
      <c r="A45" s="1" t="s">
        <v>153</v>
      </c>
      <c r="B45" s="1" t="s">
        <v>135</v>
      </c>
      <c r="C45" s="1" t="s">
        <v>127</v>
      </c>
      <c r="D45" s="1">
        <v>8</v>
      </c>
      <c r="E45" s="1">
        <v>205</v>
      </c>
      <c r="F45" s="1">
        <v>24</v>
      </c>
      <c r="G45" s="1">
        <v>153</v>
      </c>
      <c r="H45" s="1">
        <v>40</v>
      </c>
      <c r="I45" s="1" t="s">
        <v>159</v>
      </c>
      <c r="J45" s="1">
        <f>IF(ステ入力型!$D$1=2,A45, )</f>
        <v>0</v>
      </c>
      <c r="K45" s="1">
        <f>IF(ステ計算型!$C$1=2,A45, )</f>
        <v>0</v>
      </c>
    </row>
    <row r="46" spans="1:23" ht="8.25" customHeight="1">
      <c r="A46" s="1" t="s">
        <v>154</v>
      </c>
      <c r="B46" s="1" t="s">
        <v>135</v>
      </c>
      <c r="C46" s="1" t="s">
        <v>127</v>
      </c>
      <c r="D46" s="1">
        <v>9</v>
      </c>
      <c r="E46" s="1">
        <v>272</v>
      </c>
      <c r="F46" s="1">
        <v>24</v>
      </c>
      <c r="G46" s="1">
        <v>229</v>
      </c>
      <c r="H46" s="1">
        <v>42</v>
      </c>
      <c r="I46" s="1" t="s">
        <v>159</v>
      </c>
      <c r="J46" s="1">
        <f>IF(ステ入力型!$D$1=2,A46, )</f>
        <v>0</v>
      </c>
      <c r="K46" s="1">
        <f>IF(ステ計算型!$C$1=2,A46, )</f>
        <v>0</v>
      </c>
    </row>
    <row r="47" spans="1:23" ht="8.25" customHeight="1">
      <c r="A47" s="1" t="s">
        <v>155</v>
      </c>
      <c r="B47" s="1" t="s">
        <v>135</v>
      </c>
      <c r="C47" s="1" t="s">
        <v>127</v>
      </c>
      <c r="D47" s="1">
        <v>10</v>
      </c>
      <c r="E47" s="1">
        <v>349</v>
      </c>
      <c r="F47" s="1">
        <v>24</v>
      </c>
      <c r="G47" s="1">
        <v>344</v>
      </c>
      <c r="H47" s="1">
        <v>44</v>
      </c>
      <c r="I47" s="1" t="s">
        <v>159</v>
      </c>
      <c r="J47" s="1">
        <f>IF(ステ入力型!$D$1=2,A47, )</f>
        <v>0</v>
      </c>
      <c r="K47" s="1">
        <f>IF(ステ計算型!$C$1=2,A47, )</f>
        <v>0</v>
      </c>
    </row>
    <row r="48" spans="1:23" ht="8.25" customHeight="1">
      <c r="A48" s="1" t="s">
        <v>375</v>
      </c>
      <c r="B48" s="1" t="s">
        <v>135</v>
      </c>
      <c r="C48" s="1" t="s">
        <v>127</v>
      </c>
      <c r="D48" s="1">
        <v>11</v>
      </c>
      <c r="E48" s="1">
        <v>447</v>
      </c>
      <c r="F48" s="1">
        <v>24</v>
      </c>
      <c r="G48" s="1">
        <v>516</v>
      </c>
      <c r="H48" s="1">
        <v>46</v>
      </c>
      <c r="I48" s="1" t="s">
        <v>159</v>
      </c>
      <c r="J48" s="1">
        <f>IF(ステ入力型!$D$1=2,A48, )</f>
        <v>0</v>
      </c>
      <c r="K48" s="1">
        <f>IF(ステ計算型!$C$1=2,A48, )</f>
        <v>0</v>
      </c>
    </row>
    <row r="49" spans="1:29" ht="8.25" customHeight="1">
      <c r="A49" s="1" t="s">
        <v>158</v>
      </c>
      <c r="C49" s="1" t="s">
        <v>160</v>
      </c>
      <c r="D49" s="1" t="s">
        <v>160</v>
      </c>
      <c r="E49" s="1">
        <v>0</v>
      </c>
      <c r="F49" s="1">
        <v>0</v>
      </c>
      <c r="G49" s="1">
        <v>0</v>
      </c>
      <c r="H49" s="1">
        <v>0</v>
      </c>
      <c r="J49" s="1" t="s">
        <v>251</v>
      </c>
      <c r="K49" s="1" t="s">
        <v>251</v>
      </c>
    </row>
    <row r="50" spans="1:29" ht="8.25" customHeight="1">
      <c r="A50" s="1" t="s">
        <v>124</v>
      </c>
      <c r="B50" s="1" t="s">
        <v>136</v>
      </c>
      <c r="C50" s="1" t="s">
        <v>123</v>
      </c>
      <c r="D50" s="1">
        <v>8</v>
      </c>
      <c r="E50" s="1">
        <v>116</v>
      </c>
      <c r="F50" s="1">
        <v>10</v>
      </c>
      <c r="G50" s="1">
        <v>119</v>
      </c>
      <c r="H50" s="1">
        <v>0</v>
      </c>
      <c r="J50" s="1" t="str">
        <f>IF(ステ入力型!$D$1=1,A50, )</f>
        <v>オリカウ</v>
      </c>
      <c r="K50" s="1" t="str">
        <f>IF(ステ計算型!$C$1=1,A50, )</f>
        <v>オリカウ</v>
      </c>
    </row>
    <row r="51" spans="1:29" ht="8.25" customHeight="1">
      <c r="A51" s="1" t="s">
        <v>339</v>
      </c>
      <c r="B51" s="1" t="s">
        <v>136</v>
      </c>
      <c r="C51" s="1" t="s">
        <v>123</v>
      </c>
      <c r="D51" s="1">
        <v>9</v>
      </c>
      <c r="E51" s="1">
        <v>165</v>
      </c>
      <c r="F51" s="1">
        <v>10</v>
      </c>
      <c r="G51" s="1">
        <v>163</v>
      </c>
      <c r="H51" s="1">
        <v>0</v>
      </c>
      <c r="J51" s="1" t="str">
        <f>IF(ステ入力型!$D$1=1,A51, )</f>
        <v>男ジャーマン</v>
      </c>
      <c r="K51" s="1" t="str">
        <f>IF(ステ計算型!$C$1=1,A51, )</f>
        <v>男ジャーマン</v>
      </c>
      <c r="M51" s="49" t="s">
        <v>239</v>
      </c>
      <c r="N51" s="49"/>
      <c r="O51" s="49"/>
      <c r="P51" s="49"/>
      <c r="Q51" s="49"/>
      <c r="R51" s="49"/>
      <c r="S51" s="49"/>
      <c r="T51" s="49"/>
      <c r="U51" s="49"/>
      <c r="V51" s="49"/>
      <c r="W51" s="49"/>
      <c r="X51" s="8"/>
      <c r="Y51" s="8"/>
      <c r="Z51" s="8"/>
      <c r="AA51" s="8"/>
      <c r="AB51" s="8"/>
      <c r="AC51" s="8"/>
    </row>
    <row r="52" spans="1:29" ht="8.25" customHeight="1">
      <c r="A52" s="1" t="s">
        <v>144</v>
      </c>
      <c r="B52" s="1" t="s">
        <v>136</v>
      </c>
      <c r="C52" s="1" t="s">
        <v>123</v>
      </c>
      <c r="D52" s="1">
        <v>10</v>
      </c>
      <c r="E52" s="1">
        <v>201</v>
      </c>
      <c r="F52" s="1">
        <v>10</v>
      </c>
      <c r="G52" s="1">
        <v>228</v>
      </c>
      <c r="H52" s="1">
        <v>0</v>
      </c>
      <c r="J52" s="1" t="str">
        <f>IF(ステ入力型!$D$1=1,A52, )</f>
        <v>男10服</v>
      </c>
      <c r="K52" s="1" t="str">
        <f>IF(ステ計算型!$C$1=1,A52, )</f>
        <v>男10服</v>
      </c>
      <c r="M52" s="49"/>
      <c r="N52" s="49"/>
      <c r="O52" s="49"/>
      <c r="P52" s="49"/>
      <c r="Q52" s="49"/>
      <c r="R52" s="49"/>
      <c r="S52" s="49"/>
      <c r="T52" s="49"/>
      <c r="U52" s="49"/>
      <c r="V52" s="49"/>
      <c r="W52" s="49"/>
      <c r="X52" s="8"/>
      <c r="Y52" s="8"/>
      <c r="Z52" s="8"/>
      <c r="AA52" s="8"/>
      <c r="AB52" s="8"/>
      <c r="AC52" s="8"/>
    </row>
    <row r="53" spans="1:29" ht="8.25" customHeight="1">
      <c r="A53" s="1" t="s">
        <v>145</v>
      </c>
      <c r="B53" s="1" t="s">
        <v>136</v>
      </c>
      <c r="C53" s="1" t="s">
        <v>123</v>
      </c>
      <c r="D53" s="1">
        <v>11</v>
      </c>
      <c r="E53" s="1">
        <v>273</v>
      </c>
      <c r="F53" s="1">
        <v>10</v>
      </c>
      <c r="G53" s="1">
        <v>316</v>
      </c>
      <c r="H53" s="1">
        <v>0</v>
      </c>
      <c r="J53" s="1" t="str">
        <f>IF(ステ入力型!$D$1=1,A53, )</f>
        <v>男11服</v>
      </c>
      <c r="K53" s="1" t="str">
        <f>IF(ステ計算型!$C$1=1,A53, )</f>
        <v>男11服</v>
      </c>
      <c r="M53" s="49"/>
      <c r="N53" s="49"/>
      <c r="O53" s="49"/>
      <c r="P53" s="49"/>
      <c r="Q53" s="49"/>
      <c r="R53" s="49"/>
      <c r="S53" s="49"/>
      <c r="T53" s="49"/>
      <c r="U53" s="49"/>
      <c r="V53" s="49"/>
      <c r="W53" s="49"/>
      <c r="X53" s="8"/>
      <c r="Y53" s="8"/>
      <c r="Z53" s="8"/>
      <c r="AA53" s="8"/>
      <c r="AB53" s="8"/>
      <c r="AC53" s="8"/>
    </row>
    <row r="54" spans="1:29" ht="8.25" customHeight="1">
      <c r="A54" s="1" t="s">
        <v>332</v>
      </c>
      <c r="B54" s="1" t="s">
        <v>136</v>
      </c>
      <c r="C54" s="1" t="s">
        <v>123</v>
      </c>
      <c r="D54" s="1">
        <v>7</v>
      </c>
      <c r="E54" s="1">
        <v>110</v>
      </c>
      <c r="F54" s="1">
        <v>10</v>
      </c>
      <c r="G54" s="1">
        <v>72</v>
      </c>
      <c r="H54" s="1">
        <v>0</v>
      </c>
      <c r="J54" s="1" t="str">
        <f>IF(ステ入力型!$D$1=1,A54, )</f>
        <v>男3級職服</v>
      </c>
      <c r="K54" s="1" t="str">
        <f>IF(ステ計算型!$C$1=1,A54, )</f>
        <v>男3級職服</v>
      </c>
    </row>
    <row r="55" spans="1:29" ht="8.25" customHeight="1">
      <c r="A55" s="1" t="s">
        <v>333</v>
      </c>
      <c r="B55" s="1" t="s">
        <v>136</v>
      </c>
      <c r="C55" s="1" t="s">
        <v>123</v>
      </c>
      <c r="D55" s="1">
        <v>8</v>
      </c>
      <c r="E55" s="1">
        <v>150</v>
      </c>
      <c r="F55" s="1">
        <v>10</v>
      </c>
      <c r="G55" s="1">
        <v>107</v>
      </c>
      <c r="H55" s="1">
        <v>0</v>
      </c>
      <c r="J55" s="1" t="str">
        <f>IF(ステ入力型!$D$1=1,A55, )</f>
        <v>男2級職服</v>
      </c>
      <c r="K55" s="1" t="str">
        <f>IF(ステ計算型!$C$1=1,A55, )</f>
        <v>男2級職服</v>
      </c>
    </row>
    <row r="56" spans="1:29" ht="8.25" customHeight="1">
      <c r="A56" s="1" t="s">
        <v>335</v>
      </c>
      <c r="B56" s="1" t="s">
        <v>136</v>
      </c>
      <c r="C56" s="1" t="s">
        <v>123</v>
      </c>
      <c r="D56" s="1">
        <v>9</v>
      </c>
      <c r="E56" s="1">
        <v>192</v>
      </c>
      <c r="F56" s="1">
        <v>10</v>
      </c>
      <c r="G56" s="1">
        <v>146</v>
      </c>
      <c r="H56" s="1">
        <v>0</v>
      </c>
      <c r="J56" s="1" t="str">
        <f>IF(ステ入力型!$D$1=1,A56, )</f>
        <v>男1級職服</v>
      </c>
      <c r="K56" s="1" t="str">
        <f>IF(ステ計算型!$C$1=1,A56, )</f>
        <v>男1級職服</v>
      </c>
    </row>
    <row r="57" spans="1:29" ht="8.25" customHeight="1">
      <c r="A57" s="1" t="s">
        <v>126</v>
      </c>
      <c r="B57" s="1" t="s">
        <v>136</v>
      </c>
      <c r="C57" s="1" t="s">
        <v>127</v>
      </c>
      <c r="D57" s="1">
        <v>8</v>
      </c>
      <c r="E57" s="1">
        <v>103</v>
      </c>
      <c r="F57" s="1">
        <v>10</v>
      </c>
      <c r="G57" s="1">
        <v>70</v>
      </c>
      <c r="H57" s="1">
        <v>0</v>
      </c>
      <c r="J57" s="1">
        <f>IF(ステ入力型!$D$1=2,A57, )</f>
        <v>0</v>
      </c>
      <c r="K57" s="1">
        <f>IF(ステ計算型!$C$1=2,A57, )</f>
        <v>0</v>
      </c>
    </row>
    <row r="58" spans="1:29" ht="8.25" customHeight="1">
      <c r="A58" s="1" t="s">
        <v>340</v>
      </c>
      <c r="B58" s="1" t="s">
        <v>136</v>
      </c>
      <c r="C58" s="1" t="s">
        <v>127</v>
      </c>
      <c r="D58" s="1">
        <v>9</v>
      </c>
      <c r="E58" s="1">
        <v>138</v>
      </c>
      <c r="F58" s="1">
        <v>10</v>
      </c>
      <c r="G58" s="1">
        <v>99</v>
      </c>
      <c r="H58" s="1">
        <v>0</v>
      </c>
      <c r="J58" s="1">
        <f>IF(ステ入力型!$D$1=2,A58, )</f>
        <v>0</v>
      </c>
      <c r="K58" s="1">
        <f>IF(ステ計算型!$C$1=2,A58, )</f>
        <v>0</v>
      </c>
    </row>
    <row r="59" spans="1:29" ht="8.25" customHeight="1">
      <c r="A59" s="1" t="s">
        <v>147</v>
      </c>
      <c r="B59" s="1" t="s">
        <v>136</v>
      </c>
      <c r="C59" s="1" t="s">
        <v>127</v>
      </c>
      <c r="D59" s="1">
        <v>10</v>
      </c>
      <c r="E59" s="1">
        <v>191</v>
      </c>
      <c r="F59" s="1">
        <v>10</v>
      </c>
      <c r="G59" s="1">
        <v>136</v>
      </c>
      <c r="H59" s="1">
        <v>0</v>
      </c>
      <c r="J59" s="1">
        <f>IF(ステ入力型!$D$1=2,A59, )</f>
        <v>0</v>
      </c>
      <c r="K59" s="1">
        <f>IF(ステ計算型!$C$1=2,A59, )</f>
        <v>0</v>
      </c>
    </row>
    <row r="60" spans="1:29" ht="8.25" customHeight="1">
      <c r="A60" s="1" t="s">
        <v>146</v>
      </c>
      <c r="B60" s="1" t="s">
        <v>136</v>
      </c>
      <c r="C60" s="1" t="s">
        <v>127</v>
      </c>
      <c r="D60" s="1">
        <v>11</v>
      </c>
      <c r="E60" s="1">
        <v>263</v>
      </c>
      <c r="F60" s="1">
        <v>10</v>
      </c>
      <c r="G60" s="1">
        <v>186</v>
      </c>
      <c r="H60" s="1">
        <v>0</v>
      </c>
      <c r="J60" s="1">
        <f>IF(ステ入力型!$D$1=2,A60, )</f>
        <v>0</v>
      </c>
      <c r="K60" s="1">
        <f>IF(ステ計算型!$C$1=2,A60, )</f>
        <v>0</v>
      </c>
    </row>
    <row r="61" spans="1:29" ht="8.25" customHeight="1">
      <c r="A61" s="1" t="s">
        <v>336</v>
      </c>
      <c r="B61" s="1" t="s">
        <v>136</v>
      </c>
      <c r="C61" s="1" t="s">
        <v>127</v>
      </c>
      <c r="D61" s="1">
        <v>7</v>
      </c>
      <c r="E61" s="1">
        <v>93</v>
      </c>
      <c r="F61" s="1">
        <v>10</v>
      </c>
      <c r="G61" s="1">
        <v>43</v>
      </c>
      <c r="H61" s="1">
        <v>0</v>
      </c>
      <c r="J61" s="1">
        <f>IF(ステ入力型!$D$1=2,A61, )</f>
        <v>0</v>
      </c>
      <c r="K61" s="1">
        <f>IF(ステ計算型!$C$1=2,A61, )</f>
        <v>0</v>
      </c>
    </row>
    <row r="62" spans="1:29" ht="8.25" customHeight="1">
      <c r="A62" s="1" t="s">
        <v>337</v>
      </c>
      <c r="B62" s="1" t="s">
        <v>136</v>
      </c>
      <c r="C62" s="1" t="s">
        <v>127</v>
      </c>
      <c r="D62" s="1">
        <v>8</v>
      </c>
      <c r="E62" s="1">
        <v>133</v>
      </c>
      <c r="F62" s="1">
        <v>10</v>
      </c>
      <c r="G62" s="1">
        <v>63</v>
      </c>
      <c r="H62" s="1">
        <v>0</v>
      </c>
      <c r="J62" s="1">
        <f>IF(ステ入力型!$D$1=2,A62, )</f>
        <v>0</v>
      </c>
      <c r="K62" s="1">
        <f>IF(ステ計算型!$C$1=2,A62, )</f>
        <v>0</v>
      </c>
    </row>
    <row r="63" spans="1:29" ht="8.25" customHeight="1">
      <c r="A63" s="1" t="s">
        <v>338</v>
      </c>
      <c r="B63" s="1" t="s">
        <v>136</v>
      </c>
      <c r="C63" s="1" t="s">
        <v>127</v>
      </c>
      <c r="D63" s="1">
        <v>9</v>
      </c>
      <c r="E63" s="1">
        <v>161</v>
      </c>
      <c r="F63" s="1">
        <v>10</v>
      </c>
      <c r="G63" s="1">
        <v>89</v>
      </c>
      <c r="H63" s="1">
        <v>0</v>
      </c>
      <c r="J63" s="1">
        <f>IF(ステ入力型!$D$1=2,A63, )</f>
        <v>0</v>
      </c>
      <c r="K63" s="1">
        <f>IF(ステ計算型!$C$1=2,A63, )</f>
        <v>0</v>
      </c>
    </row>
    <row r="64" spans="1:29" ht="8.25" customHeight="1">
      <c r="A64" s="1" t="s">
        <v>158</v>
      </c>
      <c r="C64" s="1" t="s">
        <v>160</v>
      </c>
      <c r="D64" s="1" t="s">
        <v>160</v>
      </c>
      <c r="E64" s="1">
        <v>0</v>
      </c>
      <c r="F64" s="1">
        <v>0</v>
      </c>
      <c r="G64" s="1">
        <v>0</v>
      </c>
      <c r="H64" s="1">
        <v>0</v>
      </c>
      <c r="J64" s="1" t="s">
        <v>251</v>
      </c>
      <c r="K64" s="1" t="s">
        <v>251</v>
      </c>
    </row>
    <row r="65" spans="1:11" ht="8.25" customHeight="1">
      <c r="A65" s="1" t="s">
        <v>124</v>
      </c>
      <c r="B65" s="1" t="s">
        <v>78</v>
      </c>
      <c r="C65" s="1" t="s">
        <v>123</v>
      </c>
      <c r="D65" s="1">
        <v>7</v>
      </c>
      <c r="E65" s="1">
        <v>48</v>
      </c>
      <c r="F65" s="1">
        <v>10</v>
      </c>
      <c r="G65" s="1">
        <v>27</v>
      </c>
      <c r="H65" s="1">
        <v>38</v>
      </c>
      <c r="J65" s="1" t="str">
        <f>IF(ステ入力型!$D$1=1,A65, )</f>
        <v>オリカウ</v>
      </c>
      <c r="K65" s="1" t="str">
        <f>IF(ステ計算型!$C$1=1,A65, )</f>
        <v>オリカウ</v>
      </c>
    </row>
    <row r="66" spans="1:11" ht="8.25" customHeight="1">
      <c r="A66" s="1" t="s">
        <v>339</v>
      </c>
      <c r="B66" s="1" t="s">
        <v>78</v>
      </c>
      <c r="C66" s="1" t="s">
        <v>123</v>
      </c>
      <c r="D66" s="1">
        <v>8</v>
      </c>
      <c r="E66" s="1">
        <v>63</v>
      </c>
      <c r="F66" s="1">
        <v>10</v>
      </c>
      <c r="G66" s="1">
        <v>40</v>
      </c>
      <c r="H66" s="1">
        <v>40</v>
      </c>
      <c r="J66" s="1" t="str">
        <f>IF(ステ入力型!$D$1=1,A66, )</f>
        <v>男ジャーマン</v>
      </c>
      <c r="K66" s="1" t="str">
        <f>IF(ステ計算型!$C$1=1,A66, )</f>
        <v>男ジャーマン</v>
      </c>
    </row>
    <row r="67" spans="1:11" ht="8.25" customHeight="1">
      <c r="A67" s="1" t="s">
        <v>144</v>
      </c>
      <c r="B67" s="1" t="s">
        <v>78</v>
      </c>
      <c r="C67" s="1" t="s">
        <v>123</v>
      </c>
      <c r="D67" s="1">
        <v>10</v>
      </c>
      <c r="E67" s="1">
        <v>76</v>
      </c>
      <c r="F67" s="1">
        <v>10</v>
      </c>
      <c r="G67" s="1">
        <v>56</v>
      </c>
      <c r="H67" s="1">
        <v>42</v>
      </c>
      <c r="J67" s="1" t="str">
        <f>IF(ステ入力型!$D$1=1,A67, )</f>
        <v>男10服</v>
      </c>
      <c r="K67" s="1" t="str">
        <f>IF(ステ計算型!$C$1=1,A67, )</f>
        <v>男10服</v>
      </c>
    </row>
    <row r="68" spans="1:11" ht="8.25" customHeight="1">
      <c r="A68" s="1" t="s">
        <v>145</v>
      </c>
      <c r="B68" s="1" t="s">
        <v>78</v>
      </c>
      <c r="C68" s="1" t="s">
        <v>123</v>
      </c>
      <c r="D68" s="1">
        <v>11</v>
      </c>
      <c r="E68" s="1">
        <v>91</v>
      </c>
      <c r="F68" s="1">
        <v>10</v>
      </c>
      <c r="G68" s="1">
        <v>78</v>
      </c>
      <c r="H68" s="1">
        <v>44</v>
      </c>
      <c r="J68" s="1" t="str">
        <f>IF(ステ入力型!$D$1=1,A68, )</f>
        <v>男11服</v>
      </c>
      <c r="K68" s="1" t="str">
        <f>IF(ステ計算型!$C$1=1,A68, )</f>
        <v>男11服</v>
      </c>
    </row>
    <row r="69" spans="1:11" ht="8.25" customHeight="1">
      <c r="A69" s="1" t="s">
        <v>332</v>
      </c>
      <c r="B69" s="1" t="s">
        <v>78</v>
      </c>
      <c r="C69" s="1" t="s">
        <v>123</v>
      </c>
      <c r="D69" s="1">
        <v>7</v>
      </c>
      <c r="E69" s="1">
        <v>49</v>
      </c>
      <c r="F69" s="1">
        <v>10</v>
      </c>
      <c r="G69" s="1">
        <v>13</v>
      </c>
      <c r="H69" s="1">
        <v>36</v>
      </c>
      <c r="J69" s="1" t="str">
        <f>IF(ステ入力型!$D$1=1,A69, )</f>
        <v>男3級職服</v>
      </c>
      <c r="K69" s="1" t="str">
        <f>IF(ステ計算型!$C$1=1,A69, )</f>
        <v>男3級職服</v>
      </c>
    </row>
    <row r="70" spans="1:11" ht="8.25" customHeight="1">
      <c r="A70" s="1" t="s">
        <v>333</v>
      </c>
      <c r="B70" s="1" t="s">
        <v>78</v>
      </c>
      <c r="C70" s="1" t="s">
        <v>123</v>
      </c>
      <c r="D70" s="1">
        <v>8</v>
      </c>
      <c r="E70" s="1">
        <v>62</v>
      </c>
      <c r="F70" s="1">
        <v>10</v>
      </c>
      <c r="G70" s="1">
        <v>24</v>
      </c>
      <c r="H70" s="1">
        <v>38</v>
      </c>
      <c r="J70" s="1" t="str">
        <f>IF(ステ入力型!$D$1=1,A70, )</f>
        <v>男2級職服</v>
      </c>
      <c r="K70" s="1" t="str">
        <f>IF(ステ計算型!$C$1=1,A70, )</f>
        <v>男2級職服</v>
      </c>
    </row>
    <row r="71" spans="1:11" ht="8.25" customHeight="1">
      <c r="A71" s="1" t="s">
        <v>335</v>
      </c>
      <c r="B71" s="1" t="s">
        <v>78</v>
      </c>
      <c r="C71" s="1" t="s">
        <v>123</v>
      </c>
      <c r="D71" s="1">
        <v>9</v>
      </c>
      <c r="E71" s="1">
        <v>73</v>
      </c>
      <c r="F71" s="1">
        <v>10</v>
      </c>
      <c r="G71" s="1">
        <v>36</v>
      </c>
      <c r="H71" s="1">
        <v>40</v>
      </c>
      <c r="J71" s="1" t="str">
        <f>IF(ステ入力型!$D$1=1,A71, )</f>
        <v>男1級職服</v>
      </c>
      <c r="K71" s="1" t="str">
        <f>IF(ステ計算型!$C$1=1,A71, )</f>
        <v>男1級職服</v>
      </c>
    </row>
    <row r="72" spans="1:11" ht="8.25" customHeight="1">
      <c r="A72" s="1" t="s">
        <v>126</v>
      </c>
      <c r="B72" s="1" t="s">
        <v>78</v>
      </c>
      <c r="C72" s="1" t="s">
        <v>127</v>
      </c>
      <c r="D72" s="1">
        <v>7</v>
      </c>
      <c r="E72" s="1">
        <v>42</v>
      </c>
      <c r="F72" s="1">
        <v>10</v>
      </c>
      <c r="G72" s="1">
        <v>22</v>
      </c>
      <c r="H72" s="1">
        <v>40</v>
      </c>
      <c r="J72" s="1">
        <f>IF(ステ入力型!$D$1=2,A72, )</f>
        <v>0</v>
      </c>
      <c r="K72" s="1">
        <f>IF(ステ計算型!$C$1=2,A72, )</f>
        <v>0</v>
      </c>
    </row>
    <row r="73" spans="1:11" ht="8.25" customHeight="1">
      <c r="A73" s="1" t="s">
        <v>340</v>
      </c>
      <c r="B73" s="1" t="s">
        <v>78</v>
      </c>
      <c r="C73" s="1" t="s">
        <v>127</v>
      </c>
      <c r="D73" s="1">
        <v>8</v>
      </c>
      <c r="E73" s="1">
        <v>55</v>
      </c>
      <c r="F73" s="1">
        <v>10</v>
      </c>
      <c r="G73" s="1">
        <v>28</v>
      </c>
      <c r="H73" s="1">
        <v>43</v>
      </c>
      <c r="J73" s="1">
        <f>IF(ステ入力型!$D$1=2,A73, )</f>
        <v>0</v>
      </c>
      <c r="K73" s="1">
        <f>IF(ステ計算型!$C$1=2,A73, )</f>
        <v>0</v>
      </c>
    </row>
    <row r="74" spans="1:11" ht="8.25" customHeight="1">
      <c r="A74" s="1" t="s">
        <v>147</v>
      </c>
      <c r="B74" s="1" t="s">
        <v>78</v>
      </c>
      <c r="C74" s="1" t="s">
        <v>127</v>
      </c>
      <c r="D74" s="1">
        <v>10</v>
      </c>
      <c r="E74" s="1">
        <v>66</v>
      </c>
      <c r="F74" s="1">
        <v>10</v>
      </c>
      <c r="G74" s="1">
        <v>39</v>
      </c>
      <c r="H74" s="1">
        <v>46</v>
      </c>
      <c r="J74" s="1">
        <f>IF(ステ入力型!$D$1=2,A74, )</f>
        <v>0</v>
      </c>
      <c r="K74" s="1">
        <f>IF(ステ計算型!$C$1=2,A74, )</f>
        <v>0</v>
      </c>
    </row>
    <row r="75" spans="1:11" ht="8.25" customHeight="1">
      <c r="A75" s="1" t="s">
        <v>146</v>
      </c>
      <c r="B75" s="1" t="s">
        <v>78</v>
      </c>
      <c r="C75" s="1" t="s">
        <v>127</v>
      </c>
      <c r="D75" s="1">
        <v>11</v>
      </c>
      <c r="E75" s="1">
        <v>79</v>
      </c>
      <c r="F75" s="1">
        <v>10</v>
      </c>
      <c r="G75" s="1">
        <v>54</v>
      </c>
      <c r="H75" s="1">
        <v>48</v>
      </c>
      <c r="J75" s="1">
        <f>IF(ステ入力型!$D$1=2,A75, )</f>
        <v>0</v>
      </c>
      <c r="K75" s="1">
        <f>IF(ステ計算型!$C$1=2,A75, )</f>
        <v>0</v>
      </c>
    </row>
    <row r="76" spans="1:11" ht="8.25" customHeight="1">
      <c r="A76" s="1" t="s">
        <v>336</v>
      </c>
      <c r="B76" s="1" t="s">
        <v>78</v>
      </c>
      <c r="C76" s="1" t="s">
        <v>127</v>
      </c>
      <c r="D76" s="1">
        <v>7</v>
      </c>
      <c r="E76" s="1">
        <v>45</v>
      </c>
      <c r="F76" s="1">
        <v>10</v>
      </c>
      <c r="G76" s="1">
        <v>16</v>
      </c>
      <c r="H76" s="1">
        <v>38</v>
      </c>
      <c r="J76" s="1">
        <f>IF(ステ入力型!$D$1=2,A76, )</f>
        <v>0</v>
      </c>
      <c r="K76" s="1">
        <f>IF(ステ計算型!$C$1=2,A76, )</f>
        <v>0</v>
      </c>
    </row>
    <row r="77" spans="1:11" ht="8.25" customHeight="1">
      <c r="A77" s="1" t="s">
        <v>337</v>
      </c>
      <c r="B77" s="1" t="s">
        <v>78</v>
      </c>
      <c r="C77" s="1" t="s">
        <v>127</v>
      </c>
      <c r="D77" s="1">
        <v>8</v>
      </c>
      <c r="E77" s="1">
        <v>54</v>
      </c>
      <c r="F77" s="1">
        <v>10</v>
      </c>
      <c r="G77" s="1">
        <v>19</v>
      </c>
      <c r="H77" s="1">
        <v>40</v>
      </c>
      <c r="J77" s="1">
        <f>IF(ステ入力型!$D$1=2,A77, )</f>
        <v>0</v>
      </c>
      <c r="K77" s="1">
        <f>IF(ステ計算型!$C$1=2,A77, )</f>
        <v>0</v>
      </c>
    </row>
    <row r="78" spans="1:11" ht="8.25" customHeight="1">
      <c r="A78" s="1" t="s">
        <v>338</v>
      </c>
      <c r="B78" s="1" t="s">
        <v>78</v>
      </c>
      <c r="C78" s="1" t="s">
        <v>127</v>
      </c>
      <c r="D78" s="1">
        <v>9</v>
      </c>
      <c r="E78" s="1">
        <v>63</v>
      </c>
      <c r="F78" s="1">
        <v>10</v>
      </c>
      <c r="G78" s="1">
        <v>25</v>
      </c>
      <c r="H78" s="1">
        <v>43</v>
      </c>
      <c r="J78" s="1">
        <f>IF(ステ入力型!$D$1=2,A78, )</f>
        <v>0</v>
      </c>
      <c r="K78" s="1">
        <f>IF(ステ計算型!$C$1=2,A78, )</f>
        <v>0</v>
      </c>
    </row>
    <row r="79" spans="1:11" ht="8.25" customHeight="1">
      <c r="A79" s="1" t="s">
        <v>158</v>
      </c>
      <c r="C79" s="1" t="s">
        <v>160</v>
      </c>
      <c r="D79" s="1" t="s">
        <v>160</v>
      </c>
      <c r="E79" s="1">
        <v>0</v>
      </c>
      <c r="F79" s="1">
        <v>0</v>
      </c>
      <c r="G79" s="1">
        <v>0</v>
      </c>
      <c r="H79" s="1">
        <v>0</v>
      </c>
      <c r="J79" s="1" t="s">
        <v>251</v>
      </c>
      <c r="K79" s="1" t="s">
        <v>251</v>
      </c>
    </row>
    <row r="80" spans="1:11" ht="8.25" customHeight="1">
      <c r="A80" s="1" t="s">
        <v>124</v>
      </c>
      <c r="B80" s="1" t="s">
        <v>76</v>
      </c>
      <c r="C80" s="1" t="s">
        <v>123</v>
      </c>
      <c r="D80" s="1">
        <v>7</v>
      </c>
      <c r="E80" s="1">
        <v>54</v>
      </c>
      <c r="F80" s="1">
        <v>5</v>
      </c>
      <c r="G80" s="1">
        <v>17</v>
      </c>
      <c r="H80" s="1">
        <v>0</v>
      </c>
      <c r="J80" s="1" t="str">
        <f>IF(ステ入力型!$D$1=1,A80, )</f>
        <v>オリカウ</v>
      </c>
      <c r="K80" s="1" t="str">
        <f>IF(ステ計算型!$C$1=1,A80, )</f>
        <v>オリカウ</v>
      </c>
    </row>
    <row r="81" spans="1:11" ht="8.25" customHeight="1">
      <c r="A81" s="1" t="s">
        <v>339</v>
      </c>
      <c r="B81" s="1" t="s">
        <v>76</v>
      </c>
      <c r="C81" s="1" t="s">
        <v>123</v>
      </c>
      <c r="D81" s="1">
        <v>8</v>
      </c>
      <c r="E81" s="1">
        <v>71</v>
      </c>
      <c r="F81" s="1">
        <v>5</v>
      </c>
      <c r="G81" s="1">
        <v>24</v>
      </c>
      <c r="H81" s="1">
        <v>0</v>
      </c>
      <c r="J81" s="1" t="str">
        <f>IF(ステ入力型!$D$1=1,A81, )</f>
        <v>男ジャーマン</v>
      </c>
      <c r="K81" s="1" t="str">
        <f>IF(ステ計算型!$C$1=1,A81, )</f>
        <v>男ジャーマン</v>
      </c>
    </row>
    <row r="82" spans="1:11" ht="8.25" customHeight="1">
      <c r="A82" s="1" t="s">
        <v>144</v>
      </c>
      <c r="B82" s="1" t="s">
        <v>76</v>
      </c>
      <c r="C82" s="1" t="s">
        <v>123</v>
      </c>
      <c r="D82" s="1">
        <v>10</v>
      </c>
      <c r="E82" s="1">
        <v>86</v>
      </c>
      <c r="F82" s="1">
        <v>5</v>
      </c>
      <c r="G82" s="1">
        <v>33</v>
      </c>
      <c r="H82" s="1">
        <v>0</v>
      </c>
      <c r="J82" s="1" t="str">
        <f>IF(ステ入力型!$D$1=1,A82, )</f>
        <v>男10服</v>
      </c>
      <c r="K82" s="1" t="str">
        <f>IF(ステ計算型!$C$1=1,A82, )</f>
        <v>男10服</v>
      </c>
    </row>
    <row r="83" spans="1:11" ht="8.25" customHeight="1">
      <c r="A83" s="1" t="s">
        <v>145</v>
      </c>
      <c r="B83" s="1" t="s">
        <v>76</v>
      </c>
      <c r="C83" s="1" t="s">
        <v>123</v>
      </c>
      <c r="D83" s="1">
        <v>11</v>
      </c>
      <c r="E83" s="1">
        <v>104</v>
      </c>
      <c r="F83" s="1">
        <v>5</v>
      </c>
      <c r="G83" s="1">
        <v>45</v>
      </c>
      <c r="H83" s="1">
        <v>0</v>
      </c>
      <c r="J83" s="1" t="str">
        <f>IF(ステ入力型!$D$1=1,A83, )</f>
        <v>男11服</v>
      </c>
      <c r="K83" s="1" t="str">
        <f>IF(ステ計算型!$C$1=1,A83, )</f>
        <v>男11服</v>
      </c>
    </row>
    <row r="84" spans="1:11" ht="8.25" customHeight="1">
      <c r="A84" s="1" t="s">
        <v>332</v>
      </c>
      <c r="B84" s="1" t="s">
        <v>76</v>
      </c>
      <c r="C84" s="1" t="s">
        <v>123</v>
      </c>
      <c r="D84" s="1">
        <v>7</v>
      </c>
      <c r="E84" s="1">
        <v>54</v>
      </c>
      <c r="F84" s="1">
        <v>5</v>
      </c>
      <c r="G84" s="1">
        <v>9</v>
      </c>
      <c r="H84" s="1">
        <v>0</v>
      </c>
      <c r="J84" s="1" t="str">
        <f>IF(ステ入力型!$D$1=1,A84, )</f>
        <v>男3級職服</v>
      </c>
      <c r="K84" s="1" t="str">
        <f>IF(ステ計算型!$C$1=1,A84, )</f>
        <v>男3級職服</v>
      </c>
    </row>
    <row r="85" spans="1:11" ht="8.25" customHeight="1">
      <c r="A85" s="1" t="s">
        <v>333</v>
      </c>
      <c r="B85" s="1" t="s">
        <v>76</v>
      </c>
      <c r="C85" s="1" t="s">
        <v>123</v>
      </c>
      <c r="D85" s="1">
        <v>8</v>
      </c>
      <c r="E85" s="1">
        <v>70</v>
      </c>
      <c r="F85" s="1">
        <v>5</v>
      </c>
      <c r="G85" s="1">
        <v>15</v>
      </c>
      <c r="H85" s="1">
        <v>0</v>
      </c>
      <c r="J85" s="1" t="str">
        <f>IF(ステ入力型!$D$1=1,A85, )</f>
        <v>男2級職服</v>
      </c>
      <c r="K85" s="1" t="str">
        <f>IF(ステ計算型!$C$1=1,A85, )</f>
        <v>男2級職服</v>
      </c>
    </row>
    <row r="86" spans="1:11" ht="8.25" customHeight="1">
      <c r="A86" s="1" t="s">
        <v>335</v>
      </c>
      <c r="B86" s="1" t="s">
        <v>76</v>
      </c>
      <c r="C86" s="1" t="s">
        <v>123</v>
      </c>
      <c r="D86" s="1">
        <v>9</v>
      </c>
      <c r="E86" s="1">
        <v>82</v>
      </c>
      <c r="F86" s="1">
        <v>5</v>
      </c>
      <c r="G86" s="1">
        <v>21</v>
      </c>
      <c r="H86" s="1">
        <v>0</v>
      </c>
      <c r="J86" s="1" t="str">
        <f>IF(ステ入力型!$D$1=1,A86, )</f>
        <v>男1級職服</v>
      </c>
      <c r="K86" s="1" t="str">
        <f>IF(ステ計算型!$C$1=1,A86, )</f>
        <v>男1級職服</v>
      </c>
    </row>
    <row r="87" spans="1:11" ht="8.25" customHeight="1">
      <c r="A87" s="1" t="s">
        <v>126</v>
      </c>
      <c r="B87" s="1" t="s">
        <v>76</v>
      </c>
      <c r="C87" s="1" t="s">
        <v>127</v>
      </c>
      <c r="D87" s="1">
        <v>7</v>
      </c>
      <c r="E87" s="1">
        <v>48</v>
      </c>
      <c r="F87" s="1">
        <v>5</v>
      </c>
      <c r="G87" s="1">
        <v>11</v>
      </c>
      <c r="H87" s="1">
        <v>0</v>
      </c>
      <c r="J87" s="1">
        <f>IF(ステ入力型!$D$1=2,A87, )</f>
        <v>0</v>
      </c>
      <c r="K87" s="1">
        <f>IF(ステ計算型!$C$1=2,A87, )</f>
        <v>0</v>
      </c>
    </row>
    <row r="88" spans="1:11" ht="8.25" customHeight="1">
      <c r="A88" s="1" t="s">
        <v>340</v>
      </c>
      <c r="B88" s="1" t="s">
        <v>76</v>
      </c>
      <c r="C88" s="1" t="s">
        <v>127</v>
      </c>
      <c r="D88" s="1">
        <v>8</v>
      </c>
      <c r="E88" s="1">
        <v>61</v>
      </c>
      <c r="F88" s="1">
        <v>5</v>
      </c>
      <c r="G88" s="1">
        <v>17</v>
      </c>
      <c r="H88" s="1">
        <v>0</v>
      </c>
      <c r="J88" s="1">
        <f>IF(ステ入力型!$D$1=2,A88, )</f>
        <v>0</v>
      </c>
      <c r="K88" s="1">
        <f>IF(ステ計算型!$C$1=2,A88, )</f>
        <v>0</v>
      </c>
    </row>
    <row r="89" spans="1:11" ht="8.25" customHeight="1">
      <c r="A89" s="1" t="s">
        <v>147</v>
      </c>
      <c r="B89" s="1" t="s">
        <v>76</v>
      </c>
      <c r="C89" s="1" t="s">
        <v>127</v>
      </c>
      <c r="D89" s="1">
        <v>10</v>
      </c>
      <c r="E89" s="1">
        <v>74</v>
      </c>
      <c r="F89" s="1">
        <v>5</v>
      </c>
      <c r="G89" s="1">
        <v>24</v>
      </c>
      <c r="H89" s="1">
        <v>0</v>
      </c>
      <c r="J89" s="1">
        <f>IF(ステ入力型!$D$1=2,A89, )</f>
        <v>0</v>
      </c>
      <c r="K89" s="1">
        <f>IF(ステ計算型!$C$1=2,A89, )</f>
        <v>0</v>
      </c>
    </row>
    <row r="90" spans="1:11" ht="8.25" customHeight="1">
      <c r="A90" s="1" t="s">
        <v>146</v>
      </c>
      <c r="B90" s="1" t="s">
        <v>76</v>
      </c>
      <c r="C90" s="1" t="s">
        <v>127</v>
      </c>
      <c r="D90" s="1">
        <v>11</v>
      </c>
      <c r="E90" s="1">
        <v>89</v>
      </c>
      <c r="F90" s="1">
        <v>5</v>
      </c>
      <c r="G90" s="1">
        <v>33</v>
      </c>
      <c r="H90" s="1">
        <v>0</v>
      </c>
      <c r="J90" s="1">
        <f>IF(ステ入力型!$D$1=2,A90, )</f>
        <v>0</v>
      </c>
      <c r="K90" s="1">
        <f>IF(ステ計算型!$C$1=2,A90, )</f>
        <v>0</v>
      </c>
    </row>
    <row r="91" spans="1:11" ht="8.25" customHeight="1">
      <c r="A91" s="1" t="s">
        <v>336</v>
      </c>
      <c r="B91" s="1" t="s">
        <v>76</v>
      </c>
      <c r="C91" s="1" t="s">
        <v>127</v>
      </c>
      <c r="D91" s="1">
        <v>7</v>
      </c>
      <c r="E91" s="1">
        <v>50</v>
      </c>
      <c r="F91" s="1">
        <v>5</v>
      </c>
      <c r="G91" s="1">
        <v>6</v>
      </c>
      <c r="H91" s="1">
        <v>0</v>
      </c>
      <c r="J91" s="1">
        <f>IF(ステ入力型!$D$1=2,A91, )</f>
        <v>0</v>
      </c>
      <c r="K91" s="1">
        <f>IF(ステ計算型!$C$1=2,A91, )</f>
        <v>0</v>
      </c>
    </row>
    <row r="92" spans="1:11" ht="8.25" customHeight="1">
      <c r="A92" s="1" t="s">
        <v>337</v>
      </c>
      <c r="B92" s="1" t="s">
        <v>76</v>
      </c>
      <c r="C92" s="1" t="s">
        <v>127</v>
      </c>
      <c r="D92" s="1">
        <v>8</v>
      </c>
      <c r="E92" s="1">
        <v>62</v>
      </c>
      <c r="F92" s="1">
        <v>5</v>
      </c>
      <c r="G92" s="1">
        <v>9</v>
      </c>
      <c r="H92" s="1">
        <v>0</v>
      </c>
      <c r="J92" s="1">
        <f>IF(ステ入力型!$D$1=2,A92, )</f>
        <v>0</v>
      </c>
      <c r="K92" s="1">
        <f>IF(ステ計算型!$C$1=2,A92, )</f>
        <v>0</v>
      </c>
    </row>
    <row r="93" spans="1:11" ht="8.25" customHeight="1">
      <c r="A93" s="1" t="s">
        <v>338</v>
      </c>
      <c r="B93" s="1" t="s">
        <v>76</v>
      </c>
      <c r="C93" s="1" t="s">
        <v>127</v>
      </c>
      <c r="D93" s="1">
        <v>9</v>
      </c>
      <c r="E93" s="1">
        <v>71</v>
      </c>
      <c r="F93" s="1">
        <v>5</v>
      </c>
      <c r="G93" s="1">
        <v>15</v>
      </c>
      <c r="H93" s="1">
        <v>0</v>
      </c>
      <c r="J93" s="1">
        <f>IF(ステ入力型!$D$1=2,A93, )</f>
        <v>0</v>
      </c>
      <c r="K93" s="1">
        <f>IF(ステ計算型!$C$1=2,A93, )</f>
        <v>0</v>
      </c>
    </row>
    <row r="94" spans="1:11" ht="8.25" customHeight="1">
      <c r="A94" s="1" t="s">
        <v>158</v>
      </c>
      <c r="C94" s="1" t="s">
        <v>160</v>
      </c>
      <c r="D94" s="1" t="s">
        <v>160</v>
      </c>
      <c r="E94" s="1">
        <v>0</v>
      </c>
      <c r="F94" s="1">
        <v>0</v>
      </c>
      <c r="G94" s="1">
        <v>0</v>
      </c>
      <c r="H94" s="1">
        <v>0</v>
      </c>
      <c r="J94" s="1" t="s">
        <v>251</v>
      </c>
      <c r="K94" s="1" t="str">
        <f>IF(ステ計算型!$C$1=1,A94, )</f>
        <v>なし</v>
      </c>
    </row>
  </sheetData>
  <sheetProtection sheet="1" objects="1" scenarios="1" selectLockedCells="1" selectUnlockedCells="1"/>
  <mergeCells count="1">
    <mergeCell ref="M51:W53"/>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dimension ref="A1:R28"/>
  <sheetViews>
    <sheetView showRowColHeaders="0" workbookViewId="0">
      <pane ySplit="1" topLeftCell="A2" activePane="bottomLeft" state="frozen"/>
      <selection pane="bottomLeft" activeCell="I13" sqref="I13"/>
    </sheetView>
  </sheetViews>
  <sheetFormatPr defaultRowHeight="8.25" customHeight="1"/>
  <cols>
    <col min="1" max="1" width="9" style="1"/>
    <col min="2" max="2" width="6" style="1" customWidth="1"/>
    <col min="3" max="3" width="7.25" style="1" customWidth="1"/>
    <col min="4" max="4" width="9.375" style="1" customWidth="1"/>
    <col min="5" max="5" width="4.5" style="1" customWidth="1"/>
    <col min="6" max="6" width="5.875" style="1" customWidth="1"/>
    <col min="7" max="8" width="4.5" style="1" customWidth="1"/>
    <col min="9" max="16384" width="9" style="1"/>
  </cols>
  <sheetData>
    <row r="1" spans="1:9" ht="8.25" customHeight="1">
      <c r="B1" s="1" t="s">
        <v>225</v>
      </c>
      <c r="C1" s="1" t="s">
        <v>229</v>
      </c>
      <c r="D1" s="1" t="s">
        <v>7</v>
      </c>
      <c r="E1" s="1" t="s">
        <v>108</v>
      </c>
      <c r="F1" s="1" t="s">
        <v>96</v>
      </c>
      <c r="G1" s="1" t="s">
        <v>85</v>
      </c>
      <c r="H1" s="1" t="s">
        <v>89</v>
      </c>
      <c r="I1" s="1" t="s">
        <v>241</v>
      </c>
    </row>
    <row r="2" spans="1:9" ht="8.25" customHeight="1">
      <c r="A2" s="1" t="s">
        <v>158</v>
      </c>
      <c r="C2" s="1">
        <v>0</v>
      </c>
      <c r="D2" s="1">
        <v>1</v>
      </c>
      <c r="E2" s="1">
        <v>1</v>
      </c>
      <c r="F2" s="1">
        <v>1</v>
      </c>
      <c r="G2" s="1">
        <v>1</v>
      </c>
      <c r="H2" s="1">
        <v>1</v>
      </c>
      <c r="I2" s="1">
        <v>0</v>
      </c>
    </row>
    <row r="3" spans="1:9" ht="8.25" customHeight="1">
      <c r="A3" s="1" t="s">
        <v>220</v>
      </c>
      <c r="C3" s="1">
        <v>0</v>
      </c>
      <c r="D3" s="1">
        <v>1</v>
      </c>
      <c r="E3" s="1">
        <v>1.1000000000000001</v>
      </c>
      <c r="F3" s="1">
        <v>1</v>
      </c>
      <c r="G3" s="1">
        <v>1</v>
      </c>
      <c r="H3" s="1">
        <v>1</v>
      </c>
      <c r="I3" s="1">
        <v>40</v>
      </c>
    </row>
    <row r="4" spans="1:9" ht="8.25" customHeight="1">
      <c r="A4" s="1" t="s">
        <v>158</v>
      </c>
      <c r="C4" s="1">
        <v>0</v>
      </c>
      <c r="D4" s="1">
        <v>1</v>
      </c>
      <c r="E4" s="1">
        <v>1</v>
      </c>
      <c r="F4" s="1">
        <v>1</v>
      </c>
      <c r="G4" s="1">
        <v>1</v>
      </c>
      <c r="H4" s="1">
        <v>1</v>
      </c>
      <c r="I4" s="1">
        <v>0</v>
      </c>
    </row>
    <row r="5" spans="1:9" ht="8.25" customHeight="1">
      <c r="A5" s="1" t="s">
        <v>222</v>
      </c>
      <c r="C5" s="1">
        <v>5</v>
      </c>
      <c r="D5" s="1">
        <v>1</v>
      </c>
      <c r="E5" s="1">
        <v>1</v>
      </c>
      <c r="F5" s="1">
        <v>1.5</v>
      </c>
      <c r="G5" s="1">
        <v>1</v>
      </c>
      <c r="H5" s="1">
        <v>1</v>
      </c>
      <c r="I5" s="1">
        <v>30</v>
      </c>
    </row>
    <row r="6" spans="1:9" ht="8.25" customHeight="1">
      <c r="A6" s="1" t="s">
        <v>221</v>
      </c>
      <c r="C6" s="1">
        <v>10</v>
      </c>
      <c r="D6" s="1">
        <v>1</v>
      </c>
      <c r="E6" s="1">
        <v>1</v>
      </c>
      <c r="F6" s="1">
        <v>1</v>
      </c>
      <c r="G6" s="1">
        <v>1.5</v>
      </c>
      <c r="H6" s="1">
        <v>1</v>
      </c>
      <c r="I6" s="1">
        <v>40</v>
      </c>
    </row>
    <row r="7" spans="1:9" ht="8.25" customHeight="1">
      <c r="A7" s="1" t="s">
        <v>223</v>
      </c>
      <c r="C7" s="1">
        <v>10</v>
      </c>
      <c r="D7" s="1">
        <v>1</v>
      </c>
      <c r="E7" s="1">
        <v>1</v>
      </c>
      <c r="F7" s="1">
        <v>1</v>
      </c>
      <c r="G7" s="1">
        <v>1</v>
      </c>
      <c r="H7" s="1">
        <v>2</v>
      </c>
      <c r="I7" s="1">
        <v>45</v>
      </c>
    </row>
    <row r="8" spans="1:9" ht="8.25" customHeight="1">
      <c r="A8" s="1" t="s">
        <v>158</v>
      </c>
      <c r="D8" s="1">
        <v>1</v>
      </c>
      <c r="E8" s="1">
        <v>1</v>
      </c>
      <c r="F8" s="1">
        <v>1</v>
      </c>
      <c r="G8" s="1">
        <v>1</v>
      </c>
      <c r="H8" s="1">
        <v>1</v>
      </c>
    </row>
    <row r="9" spans="1:9" ht="8.25" customHeight="1">
      <c r="A9" s="1" t="s">
        <v>224</v>
      </c>
      <c r="B9" s="1">
        <v>1</v>
      </c>
      <c r="C9" s="1">
        <v>25</v>
      </c>
      <c r="D9" s="1">
        <v>2</v>
      </c>
      <c r="E9" s="1">
        <v>1</v>
      </c>
      <c r="F9" s="1">
        <v>1</v>
      </c>
      <c r="G9" s="1">
        <v>1</v>
      </c>
      <c r="H9" s="1">
        <v>1</v>
      </c>
      <c r="I9" s="1">
        <v>20</v>
      </c>
    </row>
    <row r="10" spans="1:9" ht="8.25" customHeight="1">
      <c r="A10" s="1" t="s">
        <v>257</v>
      </c>
      <c r="B10" s="1">
        <v>1</v>
      </c>
      <c r="C10" s="1">
        <v>35</v>
      </c>
      <c r="D10" s="1">
        <v>1</v>
      </c>
      <c r="E10" s="1">
        <v>1.5</v>
      </c>
      <c r="F10" s="1">
        <v>1</v>
      </c>
      <c r="G10" s="1">
        <v>1</v>
      </c>
      <c r="H10" s="1">
        <v>1</v>
      </c>
      <c r="I10" s="1">
        <v>40</v>
      </c>
    </row>
    <row r="11" spans="1:9" ht="8.25" customHeight="1">
      <c r="A11" s="1" t="s">
        <v>258</v>
      </c>
      <c r="B11" s="1">
        <v>2</v>
      </c>
      <c r="C11" s="1">
        <v>75</v>
      </c>
      <c r="D11" s="1">
        <v>1</v>
      </c>
      <c r="E11" s="1">
        <v>2</v>
      </c>
      <c r="F11" s="1">
        <v>1</v>
      </c>
      <c r="G11" s="1">
        <v>1</v>
      </c>
      <c r="H11" s="1">
        <v>1</v>
      </c>
      <c r="I11" s="1">
        <v>30</v>
      </c>
    </row>
    <row r="12" spans="1:9" ht="8.25" customHeight="1">
      <c r="A12" s="1" t="s">
        <v>350</v>
      </c>
      <c r="B12" s="1">
        <v>4</v>
      </c>
      <c r="C12" s="1">
        <v>60</v>
      </c>
      <c r="D12" s="1">
        <v>1</v>
      </c>
      <c r="E12" s="1">
        <v>2</v>
      </c>
      <c r="F12" s="1">
        <v>1</v>
      </c>
      <c r="G12" s="1">
        <v>1</v>
      </c>
      <c r="H12" s="1">
        <v>1</v>
      </c>
      <c r="I12" s="1">
        <v>40</v>
      </c>
    </row>
    <row r="13" spans="1:9" ht="8.25" customHeight="1">
      <c r="A13" s="1" t="s">
        <v>253</v>
      </c>
      <c r="B13" s="1">
        <v>3</v>
      </c>
      <c r="C13" s="1">
        <v>250</v>
      </c>
      <c r="D13" s="1">
        <v>1</v>
      </c>
      <c r="E13" s="1">
        <v>4</v>
      </c>
      <c r="F13" s="1">
        <v>1</v>
      </c>
      <c r="G13" s="1">
        <v>1</v>
      </c>
      <c r="H13" s="1">
        <v>1</v>
      </c>
      <c r="I13" s="1">
        <v>50</v>
      </c>
    </row>
    <row r="26" spans="3:18" ht="8.25" customHeight="1">
      <c r="C26" s="49" t="s">
        <v>239</v>
      </c>
      <c r="D26" s="49"/>
      <c r="E26" s="49"/>
      <c r="F26" s="49"/>
      <c r="G26" s="49"/>
      <c r="H26" s="49"/>
      <c r="I26" s="49"/>
      <c r="J26" s="49"/>
      <c r="K26" s="49"/>
      <c r="L26" s="49"/>
      <c r="M26" s="49"/>
      <c r="N26" s="49"/>
      <c r="O26" s="49"/>
      <c r="P26" s="49"/>
      <c r="Q26" s="49"/>
      <c r="R26" s="49"/>
    </row>
    <row r="27" spans="3:18" ht="8.25" customHeight="1">
      <c r="C27" s="49"/>
      <c r="D27" s="49"/>
      <c r="E27" s="49"/>
      <c r="F27" s="49"/>
      <c r="G27" s="49"/>
      <c r="H27" s="49"/>
      <c r="I27" s="49"/>
      <c r="J27" s="49"/>
      <c r="K27" s="49"/>
      <c r="L27" s="49"/>
      <c r="M27" s="49"/>
      <c r="N27" s="49"/>
      <c r="O27" s="49"/>
      <c r="P27" s="49"/>
      <c r="Q27" s="49"/>
      <c r="R27" s="49"/>
    </row>
    <row r="28" spans="3:18" ht="8.25" customHeight="1">
      <c r="C28" s="49"/>
      <c r="D28" s="49"/>
      <c r="E28" s="49"/>
      <c r="F28" s="49"/>
      <c r="G28" s="49"/>
      <c r="H28" s="49"/>
      <c r="I28" s="49"/>
      <c r="J28" s="49"/>
      <c r="K28" s="49"/>
      <c r="L28" s="49"/>
      <c r="M28" s="49"/>
      <c r="N28" s="49"/>
      <c r="O28" s="49"/>
      <c r="P28" s="49"/>
      <c r="Q28" s="49"/>
      <c r="R28" s="49"/>
    </row>
  </sheetData>
  <sheetProtection sheet="1" objects="1" scenarios="1" selectLockedCells="1" selectUnlockedCells="1"/>
  <mergeCells count="1">
    <mergeCell ref="C26:R28"/>
  </mergeCells>
  <phoneticPr fontId="1"/>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AK399"/>
  <sheetViews>
    <sheetView showRowColHeaders="0" workbookViewId="0">
      <pane ySplit="1" topLeftCell="A2" activePane="bottomLeft" state="frozen"/>
      <selection pane="bottomLeft" activeCell="W5" sqref="W5"/>
    </sheetView>
  </sheetViews>
  <sheetFormatPr defaultRowHeight="8.25" customHeight="1"/>
  <cols>
    <col min="1" max="1" width="6.75" style="3" customWidth="1"/>
    <col min="2" max="2" width="2.875" style="2" customWidth="1"/>
    <col min="3" max="3" width="2.875" style="7" customWidth="1"/>
    <col min="4" max="7" width="2.875" style="2" customWidth="1"/>
    <col min="8" max="8" width="2.875" style="3" customWidth="1"/>
    <col min="9" max="9" width="4.375" style="5" customWidth="1"/>
    <col min="10" max="11" width="2.875" style="5" customWidth="1"/>
    <col min="12" max="12" width="2.875" style="7" customWidth="1"/>
    <col min="13" max="13" width="6.625" style="3" customWidth="1"/>
    <col min="14" max="14" width="1.375" style="4" customWidth="1"/>
    <col min="15" max="15" width="0.125" style="3" customWidth="1"/>
    <col min="16" max="16" width="4.375" style="3" customWidth="1"/>
    <col min="17" max="17" width="1.375" style="4" customWidth="1"/>
    <col min="18" max="18" width="3" style="4" customWidth="1"/>
    <col min="19" max="19" width="4.375" style="3" customWidth="1"/>
    <col min="20" max="21" width="3" style="4" customWidth="1"/>
    <col min="22" max="22" width="3.625" style="4" customWidth="1"/>
    <col min="23" max="23" width="3" style="4" customWidth="1"/>
    <col min="24" max="24" width="11.875" style="3" customWidth="1"/>
    <col min="25" max="28" width="6.75" style="3" customWidth="1"/>
    <col min="29" max="16384" width="9" style="3"/>
  </cols>
  <sheetData>
    <row r="1" spans="1:37" ht="8.25" customHeight="1">
      <c r="A1" s="3" t="s">
        <v>245</v>
      </c>
      <c r="B1" s="2" t="s">
        <v>15</v>
      </c>
      <c r="C1" s="7" t="s">
        <v>24</v>
      </c>
      <c r="D1" s="2" t="s">
        <v>23</v>
      </c>
      <c r="E1" s="2" t="s">
        <v>22</v>
      </c>
      <c r="F1" s="2" t="s">
        <v>13</v>
      </c>
      <c r="G1" s="2" t="s">
        <v>14</v>
      </c>
      <c r="H1" s="3" t="s">
        <v>2</v>
      </c>
      <c r="I1" s="5" t="s">
        <v>0</v>
      </c>
      <c r="J1" s="5" t="s">
        <v>3</v>
      </c>
      <c r="K1" s="5" t="s">
        <v>5</v>
      </c>
      <c r="L1" s="7" t="s">
        <v>4</v>
      </c>
      <c r="M1" s="7" t="s">
        <v>1</v>
      </c>
      <c r="N1" s="4" t="s">
        <v>12</v>
      </c>
      <c r="O1" s="50" t="s">
        <v>6</v>
      </c>
      <c r="P1" s="50"/>
      <c r="Q1" s="4" t="s">
        <v>8</v>
      </c>
      <c r="R1" s="4" t="s">
        <v>46</v>
      </c>
      <c r="S1" s="3" t="s">
        <v>7</v>
      </c>
      <c r="T1" s="4" t="s">
        <v>18</v>
      </c>
      <c r="U1" s="4" t="s">
        <v>9</v>
      </c>
      <c r="V1" s="4" t="s">
        <v>10</v>
      </c>
      <c r="W1" s="4" t="s">
        <v>47</v>
      </c>
      <c r="X1" s="3" t="s">
        <v>11</v>
      </c>
      <c r="Y1" s="3" t="s">
        <v>242</v>
      </c>
      <c r="Z1" s="3" t="s">
        <v>243</v>
      </c>
      <c r="AA1" s="3" t="s">
        <v>244</v>
      </c>
      <c r="AB1" s="3" t="s">
        <v>245</v>
      </c>
    </row>
    <row r="2" spans="1:37" ht="8.25" customHeight="1">
      <c r="H2" s="7"/>
      <c r="M2" s="7"/>
      <c r="N2" s="2"/>
      <c r="O2" s="7"/>
      <c r="P2" s="7"/>
      <c r="Q2" s="2"/>
      <c r="R2" s="2"/>
      <c r="S2" s="7"/>
      <c r="T2" s="2"/>
      <c r="U2" s="2"/>
      <c r="V2" s="2"/>
      <c r="W2" s="2"/>
      <c r="X2" s="7"/>
      <c r="Y2" s="7"/>
      <c r="Z2" s="7"/>
      <c r="AA2" s="7"/>
    </row>
    <row r="3" spans="1:37" ht="8.25" customHeight="1">
      <c r="A3" s="3">
        <f>MAX(A4:A399)</f>
        <v>70519.787316000002</v>
      </c>
      <c r="B3" s="2">
        <f>ステ計算型!$B$2</f>
        <v>101</v>
      </c>
      <c r="C3" s="7">
        <f>VLOOKUP(B3,ポイント!$A$1:$D$43,4,FALSE)</f>
        <v>571</v>
      </c>
      <c r="D3" s="2">
        <f>ステ計算型!$B$4</f>
        <v>5</v>
      </c>
      <c r="E3" s="2">
        <f>ステ計算型!$B$6</f>
        <v>127</v>
      </c>
      <c r="F3" s="2">
        <f>ステ計算型!$B$8</f>
        <v>10</v>
      </c>
      <c r="G3" s="2">
        <f>ステ計算型!$B$9</f>
        <v>82</v>
      </c>
      <c r="H3" s="7">
        <f>C3-D3-E3-F3-G3</f>
        <v>347</v>
      </c>
      <c r="I3" s="5">
        <f>ステ計算型!$K$3</f>
        <v>7390</v>
      </c>
      <c r="J3" s="5">
        <f>ステ計算型!$N$3</f>
        <v>66</v>
      </c>
      <c r="K3" s="5">
        <f>VLOOKUP(A3,A4:K399,11,FALSE)</f>
        <v>67</v>
      </c>
      <c r="L3" s="7">
        <f>H3-K3</f>
        <v>280</v>
      </c>
      <c r="M3" s="7">
        <f>ROUNDDOWN(I3*(L3/100+1)+L3,0)</f>
        <v>28362</v>
      </c>
      <c r="N3" s="2">
        <v>1</v>
      </c>
      <c r="O3" s="7">
        <f t="shared" ref="O3:O66" si="0">ROUNDDOWN(((J3*(K3/100+1))/5)+1,0)/100*N3</f>
        <v>0.23</v>
      </c>
      <c r="P3" s="7">
        <f>IF(O3&gt;0.5,0.5,O3)</f>
        <v>0.23</v>
      </c>
      <c r="Q3" s="2">
        <f>ステ計算型!$I$29</f>
        <v>1</v>
      </c>
      <c r="R3" s="2">
        <f>ステ計算型!$E$33</f>
        <v>0.2</v>
      </c>
      <c r="S3" s="7">
        <f>(K3/100+2)*Q3*(R3*2+1-R3)</f>
        <v>3.2039999999999997</v>
      </c>
      <c r="T3" s="2">
        <f>ステ計算型!$I$27</f>
        <v>1.1000000000000001</v>
      </c>
      <c r="U3" s="2">
        <f>ステ計算型!$J$29</f>
        <v>2</v>
      </c>
      <c r="V3" s="2">
        <f>ステ計算型!$F$32</f>
        <v>0.75</v>
      </c>
      <c r="W3" s="2">
        <f>ステ計算型!$G$34</f>
        <v>1</v>
      </c>
      <c r="X3" s="7">
        <f>M3*(P3*S3+1-P3)*T3*U3*V3*W3</f>
        <v>70519.787316000002</v>
      </c>
      <c r="Y3" s="7"/>
      <c r="Z3" s="7"/>
      <c r="AA3" s="7"/>
      <c r="AB3" s="3">
        <f>MAX(AB4:AB399)</f>
        <v>70519.787316000002</v>
      </c>
    </row>
    <row r="4" spans="1:37" ht="8.25" customHeight="1">
      <c r="A4" s="3">
        <f>X4*Z4*AA4</f>
        <v>65589.516300000018</v>
      </c>
      <c r="B4" s="2">
        <f>ステ計算型!$B$2</f>
        <v>101</v>
      </c>
      <c r="C4" s="7">
        <f>VLOOKUP(B4,ポイント!$A$1:$D$43,4,FALSE)</f>
        <v>571</v>
      </c>
      <c r="D4" s="2">
        <f>ステ計算型!$B$4</f>
        <v>5</v>
      </c>
      <c r="E4" s="2">
        <f>ステ計算型!$B$6</f>
        <v>127</v>
      </c>
      <c r="F4" s="2">
        <f>ステ計算型!$B$8</f>
        <v>10</v>
      </c>
      <c r="G4" s="2">
        <f>ステ計算型!$B$9</f>
        <v>82</v>
      </c>
      <c r="H4" s="7">
        <f>C4-D4-E4-F4-G4</f>
        <v>347</v>
      </c>
      <c r="I4" s="5">
        <f>ステ計算型!$K$3</f>
        <v>7390</v>
      </c>
      <c r="J4" s="5">
        <f>ステ計算型!$N$3</f>
        <v>66</v>
      </c>
      <c r="K4" s="5">
        <v>5</v>
      </c>
      <c r="L4" s="7">
        <f>H4-K4</f>
        <v>342</v>
      </c>
      <c r="M4" s="7">
        <f>ROUNDDOWN(I4*(L4/100+1)+L4,0)</f>
        <v>33005</v>
      </c>
      <c r="N4" s="2">
        <v>1</v>
      </c>
      <c r="O4" s="7">
        <f t="shared" si="0"/>
        <v>0.14000000000000001</v>
      </c>
      <c r="P4" s="7">
        <f>IF(O4&gt;0.5,0.5,O4)</f>
        <v>0.14000000000000001</v>
      </c>
      <c r="Q4" s="2">
        <f>ステ計算型!$I$29</f>
        <v>1</v>
      </c>
      <c r="R4" s="2">
        <f>ステ計算型!$E$33</f>
        <v>0.2</v>
      </c>
      <c r="S4" s="7">
        <f>(K4/100+2)*Q4*(R4*2+1-R4)</f>
        <v>2.4599999999999995</v>
      </c>
      <c r="T4" s="2">
        <f>ステ計算型!$I$27</f>
        <v>1.1000000000000001</v>
      </c>
      <c r="U4" s="2">
        <f>ステ計算型!$J$29</f>
        <v>2</v>
      </c>
      <c r="V4" s="2">
        <f>ステ計算型!$F$32</f>
        <v>0.75</v>
      </c>
      <c r="W4" s="2">
        <f>ステ計算型!$G$34</f>
        <v>1</v>
      </c>
      <c r="X4" s="7">
        <f>M4*(P4*S4+1-P4)*T4*U4*V4*W4</f>
        <v>65589.516300000018</v>
      </c>
      <c r="Y4" s="7">
        <f>IF(B4&gt;99,400,350)</f>
        <v>400</v>
      </c>
      <c r="Z4" s="7">
        <f>IF(L4&gt;Y4,0,1)</f>
        <v>1</v>
      </c>
      <c r="AA4" s="7">
        <f>IF(L4&lt;ステ計算型!$A$20,0,1)</f>
        <v>1</v>
      </c>
      <c r="AB4" s="3">
        <f>X4*Z4*AA4</f>
        <v>65589.516300000018</v>
      </c>
    </row>
    <row r="5" spans="1:37" ht="8.25" customHeight="1">
      <c r="A5" s="3">
        <f t="shared" ref="A5:A68" si="1">X5*Z5*AA5</f>
        <v>65531.753760000007</v>
      </c>
      <c r="B5" s="2">
        <f>ステ計算型!$B$2</f>
        <v>101</v>
      </c>
      <c r="C5" s="7">
        <f>VLOOKUP(B5,ポイント!$A$1:$D$43,4,FALSE)</f>
        <v>571</v>
      </c>
      <c r="D5" s="2">
        <f>ステ計算型!$B$4</f>
        <v>5</v>
      </c>
      <c r="E5" s="2">
        <f>ステ計算型!$B$6</f>
        <v>127</v>
      </c>
      <c r="F5" s="2">
        <f>ステ計算型!$B$8</f>
        <v>10</v>
      </c>
      <c r="G5" s="2">
        <f>ステ計算型!$B$9</f>
        <v>82</v>
      </c>
      <c r="H5" s="7">
        <f>C5-D5-E5-F5-G5</f>
        <v>347</v>
      </c>
      <c r="I5" s="5">
        <f>ステ計算型!$K$3</f>
        <v>7390</v>
      </c>
      <c r="J5" s="5">
        <f>ステ計算型!$N$3</f>
        <v>66</v>
      </c>
      <c r="K5" s="5">
        <v>6</v>
      </c>
      <c r="L5" s="7">
        <f>H5-K5</f>
        <v>341</v>
      </c>
      <c r="M5" s="7">
        <f t="shared" ref="M5:M68" si="2">ROUNDDOWN(I5*(L5/100+1)+L5,0)</f>
        <v>32930</v>
      </c>
      <c r="N5" s="2">
        <v>1</v>
      </c>
      <c r="O5" s="7">
        <f t="shared" si="0"/>
        <v>0.14000000000000001</v>
      </c>
      <c r="P5" s="7">
        <f>IF(O5&gt;0.5,0.5,O5)</f>
        <v>0.14000000000000001</v>
      </c>
      <c r="Q5" s="2">
        <f>ステ計算型!$I$29</f>
        <v>1</v>
      </c>
      <c r="R5" s="2">
        <f>ステ計算型!$E$33</f>
        <v>0.2</v>
      </c>
      <c r="S5" s="7">
        <f>(K5/100+2)*Q5*(R5*2+1-R5)</f>
        <v>2.472</v>
      </c>
      <c r="T5" s="2">
        <f>ステ計算型!$I$27</f>
        <v>1.1000000000000001</v>
      </c>
      <c r="U5" s="2">
        <f>ステ計算型!$J$29</f>
        <v>2</v>
      </c>
      <c r="V5" s="2">
        <f>ステ計算型!$F$32</f>
        <v>0.75</v>
      </c>
      <c r="W5" s="2">
        <f>ステ計算型!$G$34</f>
        <v>1</v>
      </c>
      <c r="X5" s="7">
        <f>M5*(P5*S5+1-P5)*T5*U5*V5*W5</f>
        <v>65531.753760000007</v>
      </c>
      <c r="Y5" s="7">
        <f t="shared" ref="Y5:Y68" si="3">IF(B5&gt;99,400,350)</f>
        <v>400</v>
      </c>
      <c r="Z5" s="7">
        <f t="shared" ref="Z5:Z68" si="4">IF(L5&gt;Y5,0,1)</f>
        <v>1</v>
      </c>
      <c r="AA5" s="38">
        <f>IF(L5&lt;ステ計算型!$A$20,0,1)</f>
        <v>1</v>
      </c>
      <c r="AB5" s="3">
        <f t="shared" ref="AB5:AB68" si="5">X5*Z5*AA5</f>
        <v>65531.753760000007</v>
      </c>
    </row>
    <row r="6" spans="1:37" ht="8.25" customHeight="1">
      <c r="A6" s="3">
        <f t="shared" si="1"/>
        <v>66280.080239999996</v>
      </c>
      <c r="B6" s="2">
        <f>ステ計算型!$B$2</f>
        <v>101</v>
      </c>
      <c r="C6" s="7">
        <f>VLOOKUP(B6,ポイント!$A$1:$D$43,4,FALSE)</f>
        <v>571</v>
      </c>
      <c r="D6" s="2">
        <f>ステ計算型!$B$4</f>
        <v>5</v>
      </c>
      <c r="E6" s="2">
        <f>ステ計算型!$B$6</f>
        <v>127</v>
      </c>
      <c r="F6" s="2">
        <f>ステ計算型!$B$8</f>
        <v>10</v>
      </c>
      <c r="G6" s="2">
        <f>ステ計算型!$B$9</f>
        <v>82</v>
      </c>
      <c r="H6" s="7">
        <f>C6-D6-E6-F6-G6</f>
        <v>347</v>
      </c>
      <c r="I6" s="5">
        <f>ステ計算型!$K$3</f>
        <v>7390</v>
      </c>
      <c r="J6" s="5">
        <f>ステ計算型!$N$3</f>
        <v>66</v>
      </c>
      <c r="K6" s="5">
        <v>7</v>
      </c>
      <c r="L6" s="7">
        <f>H6-K6</f>
        <v>340</v>
      </c>
      <c r="M6" s="7">
        <f t="shared" si="2"/>
        <v>32856</v>
      </c>
      <c r="N6" s="2">
        <v>1</v>
      </c>
      <c r="O6" s="7">
        <f t="shared" si="0"/>
        <v>0.15</v>
      </c>
      <c r="P6" s="7">
        <f>IF(O6&gt;0.5,0.5,O6)</f>
        <v>0.15</v>
      </c>
      <c r="Q6" s="2">
        <f>ステ計算型!$I$29</f>
        <v>1</v>
      </c>
      <c r="R6" s="2">
        <f>ステ計算型!$E$33</f>
        <v>0.2</v>
      </c>
      <c r="S6" s="7">
        <f>(K6/100+2)*Q6*(R6*2+1-R6)</f>
        <v>2.4839999999999995</v>
      </c>
      <c r="T6" s="2">
        <f>ステ計算型!$I$27</f>
        <v>1.1000000000000001</v>
      </c>
      <c r="U6" s="2">
        <f>ステ計算型!$J$29</f>
        <v>2</v>
      </c>
      <c r="V6" s="2">
        <f>ステ計算型!$F$32</f>
        <v>0.75</v>
      </c>
      <c r="W6" s="2">
        <f>ステ計算型!$G$34</f>
        <v>1</v>
      </c>
      <c r="X6" s="7">
        <f t="shared" ref="X6:X15" si="6">M6*(P6*S6+1-P6)*T6*U6*V6*W6</f>
        <v>66280.080239999996</v>
      </c>
      <c r="Y6" s="7">
        <f t="shared" si="3"/>
        <v>400</v>
      </c>
      <c r="Z6" s="7">
        <f t="shared" si="4"/>
        <v>1</v>
      </c>
      <c r="AA6" s="38">
        <f>IF(L6&lt;ステ計算型!$A$20,0,1)</f>
        <v>1</v>
      </c>
      <c r="AB6" s="3">
        <f t="shared" si="5"/>
        <v>66280.080239999996</v>
      </c>
    </row>
    <row r="7" spans="1:37" ht="8.25" customHeight="1">
      <c r="A7" s="3">
        <f t="shared" si="1"/>
        <v>66226.143060000031</v>
      </c>
      <c r="B7" s="2">
        <f>ステ計算型!$B$2</f>
        <v>101</v>
      </c>
      <c r="C7" s="7">
        <f>VLOOKUP(B7,ポイント!$A$1:$D$43,4,FALSE)</f>
        <v>571</v>
      </c>
      <c r="D7" s="2">
        <f>ステ計算型!$B$4</f>
        <v>5</v>
      </c>
      <c r="E7" s="2">
        <f>ステ計算型!$B$6</f>
        <v>127</v>
      </c>
      <c r="F7" s="2">
        <f>ステ計算型!$B$8</f>
        <v>10</v>
      </c>
      <c r="G7" s="2">
        <f>ステ計算型!$B$9</f>
        <v>82</v>
      </c>
      <c r="H7" s="7">
        <f t="shared" ref="H7:H16" si="7">C7-D7-E7-F7-G7</f>
        <v>347</v>
      </c>
      <c r="I7" s="5">
        <f>ステ計算型!$K$3</f>
        <v>7390</v>
      </c>
      <c r="J7" s="5">
        <f>ステ計算型!$N$3</f>
        <v>66</v>
      </c>
      <c r="K7" s="5">
        <v>8</v>
      </c>
      <c r="L7" s="7">
        <f t="shared" ref="L7:L16" si="8">H7-K7</f>
        <v>339</v>
      </c>
      <c r="M7" s="7">
        <f t="shared" si="2"/>
        <v>32781</v>
      </c>
      <c r="N7" s="2">
        <v>1</v>
      </c>
      <c r="O7" s="7">
        <f t="shared" si="0"/>
        <v>0.15</v>
      </c>
      <c r="P7" s="7">
        <f t="shared" ref="P7:P16" si="9">IF(O7&gt;0.5,0.5,O7)</f>
        <v>0.15</v>
      </c>
      <c r="Q7" s="2">
        <f>ステ計算型!$I$29</f>
        <v>1</v>
      </c>
      <c r="R7" s="2">
        <f>ステ計算型!$E$33</f>
        <v>0.2</v>
      </c>
      <c r="S7" s="7">
        <f t="shared" ref="S7:S16" si="10">(K7/100+2)*Q7*(R7*2+1-R7)</f>
        <v>2.496</v>
      </c>
      <c r="T7" s="2">
        <f>ステ計算型!$I$27</f>
        <v>1.1000000000000001</v>
      </c>
      <c r="U7" s="2">
        <f>ステ計算型!$J$29</f>
        <v>2</v>
      </c>
      <c r="V7" s="2">
        <f>ステ計算型!$F$32</f>
        <v>0.75</v>
      </c>
      <c r="W7" s="2">
        <f>ステ計算型!$G$34</f>
        <v>1</v>
      </c>
      <c r="X7" s="7">
        <f t="shared" si="6"/>
        <v>66226.143060000031</v>
      </c>
      <c r="Y7" s="7">
        <f t="shared" si="3"/>
        <v>400</v>
      </c>
      <c r="Z7" s="7">
        <f t="shared" si="4"/>
        <v>1</v>
      </c>
      <c r="AA7" s="38">
        <f>IF(L7&lt;ステ計算型!$A$20,0,1)</f>
        <v>1</v>
      </c>
      <c r="AB7" s="3">
        <f t="shared" si="5"/>
        <v>66226.143060000031</v>
      </c>
    </row>
    <row r="8" spans="1:37" ht="8.25" customHeight="1">
      <c r="A8" s="3">
        <f t="shared" si="1"/>
        <v>66171.760379999992</v>
      </c>
      <c r="B8" s="2">
        <f>ステ計算型!$B$2</f>
        <v>101</v>
      </c>
      <c r="C8" s="7">
        <f>VLOOKUP(B8,ポイント!$A$1:$D$43,4,FALSE)</f>
        <v>571</v>
      </c>
      <c r="D8" s="2">
        <f>ステ計算型!$B$4</f>
        <v>5</v>
      </c>
      <c r="E8" s="2">
        <f>ステ計算型!$B$6</f>
        <v>127</v>
      </c>
      <c r="F8" s="2">
        <f>ステ計算型!$B$8</f>
        <v>10</v>
      </c>
      <c r="G8" s="2">
        <f>ステ計算型!$B$9</f>
        <v>82</v>
      </c>
      <c r="H8" s="7">
        <f t="shared" si="7"/>
        <v>347</v>
      </c>
      <c r="I8" s="5">
        <f>ステ計算型!$K$3</f>
        <v>7390</v>
      </c>
      <c r="J8" s="5">
        <f>ステ計算型!$N$3</f>
        <v>66</v>
      </c>
      <c r="K8" s="5">
        <v>9</v>
      </c>
      <c r="L8" s="7">
        <f t="shared" si="8"/>
        <v>338</v>
      </c>
      <c r="M8" s="7">
        <f t="shared" si="2"/>
        <v>32706</v>
      </c>
      <c r="N8" s="2">
        <v>1</v>
      </c>
      <c r="O8" s="7">
        <f t="shared" si="0"/>
        <v>0.15</v>
      </c>
      <c r="P8" s="7">
        <f t="shared" si="9"/>
        <v>0.15</v>
      </c>
      <c r="Q8" s="2">
        <f>ステ計算型!$I$29</f>
        <v>1</v>
      </c>
      <c r="R8" s="2">
        <f>ステ計算型!$E$33</f>
        <v>0.2</v>
      </c>
      <c r="S8" s="7">
        <f t="shared" si="10"/>
        <v>2.5079999999999996</v>
      </c>
      <c r="T8" s="2">
        <f>ステ計算型!$I$27</f>
        <v>1.1000000000000001</v>
      </c>
      <c r="U8" s="2">
        <f>ステ計算型!$J$29</f>
        <v>2</v>
      </c>
      <c r="V8" s="2">
        <f>ステ計算型!$F$32</f>
        <v>0.75</v>
      </c>
      <c r="W8" s="2">
        <f>ステ計算型!$G$34</f>
        <v>1</v>
      </c>
      <c r="X8" s="7">
        <f t="shared" si="6"/>
        <v>66171.760379999992</v>
      </c>
      <c r="Y8" s="7">
        <f t="shared" si="3"/>
        <v>400</v>
      </c>
      <c r="Z8" s="7">
        <f t="shared" si="4"/>
        <v>1</v>
      </c>
      <c r="AA8" s="38">
        <f>IF(L8&lt;ステ計算型!$A$20,0,1)</f>
        <v>1</v>
      </c>
      <c r="AB8" s="3">
        <f t="shared" si="5"/>
        <v>66171.760379999992</v>
      </c>
      <c r="AC8" s="49" t="s">
        <v>239</v>
      </c>
      <c r="AD8" s="49"/>
      <c r="AE8" s="49"/>
      <c r="AF8" s="49"/>
      <c r="AG8" s="49"/>
      <c r="AH8" s="49"/>
      <c r="AI8" s="49"/>
      <c r="AJ8" s="49"/>
      <c r="AK8" s="49"/>
    </row>
    <row r="9" spans="1:37" ht="8.25" customHeight="1">
      <c r="A9" s="3">
        <f t="shared" si="1"/>
        <v>66116.932200000025</v>
      </c>
      <c r="B9" s="2">
        <f>ステ計算型!$B$2</f>
        <v>101</v>
      </c>
      <c r="C9" s="7">
        <f>VLOOKUP(B9,ポイント!$A$1:$D$43,4,FALSE)</f>
        <v>571</v>
      </c>
      <c r="D9" s="2">
        <f>ステ計算型!$B$4</f>
        <v>5</v>
      </c>
      <c r="E9" s="2">
        <f>ステ計算型!$B$6</f>
        <v>127</v>
      </c>
      <c r="F9" s="2">
        <f>ステ計算型!$B$8</f>
        <v>10</v>
      </c>
      <c r="G9" s="2">
        <f>ステ計算型!$B$9</f>
        <v>82</v>
      </c>
      <c r="H9" s="7">
        <f t="shared" si="7"/>
        <v>347</v>
      </c>
      <c r="I9" s="5">
        <f>ステ計算型!$K$3</f>
        <v>7390</v>
      </c>
      <c r="J9" s="5">
        <f>ステ計算型!$N$3</f>
        <v>66</v>
      </c>
      <c r="K9" s="5">
        <v>10</v>
      </c>
      <c r="L9" s="7">
        <f t="shared" si="8"/>
        <v>337</v>
      </c>
      <c r="M9" s="7">
        <f t="shared" si="2"/>
        <v>32631</v>
      </c>
      <c r="N9" s="2">
        <v>1</v>
      </c>
      <c r="O9" s="7">
        <f t="shared" si="0"/>
        <v>0.15</v>
      </c>
      <c r="P9" s="7">
        <f t="shared" si="9"/>
        <v>0.15</v>
      </c>
      <c r="Q9" s="2">
        <f>ステ計算型!$I$29</f>
        <v>1</v>
      </c>
      <c r="R9" s="2">
        <f>ステ計算型!$E$33</f>
        <v>0.2</v>
      </c>
      <c r="S9" s="7">
        <f t="shared" si="10"/>
        <v>2.52</v>
      </c>
      <c r="T9" s="2">
        <f>ステ計算型!$I$27</f>
        <v>1.1000000000000001</v>
      </c>
      <c r="U9" s="2">
        <f>ステ計算型!$J$29</f>
        <v>2</v>
      </c>
      <c r="V9" s="2">
        <f>ステ計算型!$F$32</f>
        <v>0.75</v>
      </c>
      <c r="W9" s="2">
        <f>ステ計算型!$G$34</f>
        <v>1</v>
      </c>
      <c r="X9" s="7">
        <f t="shared" si="6"/>
        <v>66116.932200000025</v>
      </c>
      <c r="Y9" s="7">
        <f t="shared" si="3"/>
        <v>400</v>
      </c>
      <c r="Z9" s="7">
        <f t="shared" si="4"/>
        <v>1</v>
      </c>
      <c r="AA9" s="38">
        <f>IF(L9&lt;ステ計算型!$A$20,0,1)</f>
        <v>1</v>
      </c>
      <c r="AB9" s="3">
        <f t="shared" si="5"/>
        <v>66116.932200000025</v>
      </c>
      <c r="AC9" s="49"/>
      <c r="AD9" s="49"/>
      <c r="AE9" s="49"/>
      <c r="AF9" s="49"/>
      <c r="AG9" s="49"/>
      <c r="AH9" s="49"/>
      <c r="AI9" s="49"/>
      <c r="AJ9" s="49"/>
      <c r="AK9" s="49"/>
    </row>
    <row r="10" spans="1:37" ht="8.25" customHeight="1">
      <c r="A10" s="3">
        <f t="shared" si="1"/>
        <v>66061.658519999997</v>
      </c>
      <c r="B10" s="2">
        <f>ステ計算型!$B$2</f>
        <v>101</v>
      </c>
      <c r="C10" s="7">
        <f>VLOOKUP(B10,ポイント!$A$1:$D$43,4,FALSE)</f>
        <v>571</v>
      </c>
      <c r="D10" s="2">
        <f>ステ計算型!$B$4</f>
        <v>5</v>
      </c>
      <c r="E10" s="2">
        <f>ステ計算型!$B$6</f>
        <v>127</v>
      </c>
      <c r="F10" s="2">
        <f>ステ計算型!$B$8</f>
        <v>10</v>
      </c>
      <c r="G10" s="2">
        <f>ステ計算型!$B$9</f>
        <v>82</v>
      </c>
      <c r="H10" s="7">
        <f t="shared" si="7"/>
        <v>347</v>
      </c>
      <c r="I10" s="5">
        <f>ステ計算型!$K$3</f>
        <v>7390</v>
      </c>
      <c r="J10" s="5">
        <f>ステ計算型!$N$3</f>
        <v>66</v>
      </c>
      <c r="K10" s="5">
        <v>11</v>
      </c>
      <c r="L10" s="7">
        <f t="shared" si="8"/>
        <v>336</v>
      </c>
      <c r="M10" s="7">
        <f t="shared" si="2"/>
        <v>32556</v>
      </c>
      <c r="N10" s="2">
        <v>1</v>
      </c>
      <c r="O10" s="7">
        <f t="shared" si="0"/>
        <v>0.15</v>
      </c>
      <c r="P10" s="7">
        <f t="shared" si="9"/>
        <v>0.15</v>
      </c>
      <c r="Q10" s="2">
        <f>ステ計算型!$I$29</f>
        <v>1</v>
      </c>
      <c r="R10" s="2">
        <f>ステ計算型!$E$33</f>
        <v>0.2</v>
      </c>
      <c r="S10" s="7">
        <f t="shared" si="10"/>
        <v>2.5319999999999996</v>
      </c>
      <c r="T10" s="2">
        <f>ステ計算型!$I$27</f>
        <v>1.1000000000000001</v>
      </c>
      <c r="U10" s="2">
        <f>ステ計算型!$J$29</f>
        <v>2</v>
      </c>
      <c r="V10" s="2">
        <f>ステ計算型!$F$32</f>
        <v>0.75</v>
      </c>
      <c r="W10" s="2">
        <f>ステ計算型!$G$34</f>
        <v>1</v>
      </c>
      <c r="X10" s="7">
        <f t="shared" si="6"/>
        <v>66061.658519999997</v>
      </c>
      <c r="Y10" s="7">
        <f t="shared" si="3"/>
        <v>400</v>
      </c>
      <c r="Z10" s="7">
        <f t="shared" si="4"/>
        <v>1</v>
      </c>
      <c r="AA10" s="38">
        <f>IF(L10&lt;ステ計算型!$A$20,0,1)</f>
        <v>1</v>
      </c>
      <c r="AB10" s="3">
        <f t="shared" si="5"/>
        <v>66061.658519999997</v>
      </c>
      <c r="AC10" s="49"/>
      <c r="AD10" s="49"/>
      <c r="AE10" s="49"/>
      <c r="AF10" s="49"/>
      <c r="AG10" s="49"/>
      <c r="AH10" s="49"/>
      <c r="AI10" s="49"/>
      <c r="AJ10" s="49"/>
      <c r="AK10" s="49"/>
    </row>
    <row r="11" spans="1:37" ht="8.25" customHeight="1">
      <c r="A11" s="3">
        <f t="shared" si="1"/>
        <v>66005.939340000012</v>
      </c>
      <c r="B11" s="2">
        <f>ステ計算型!$B$2</f>
        <v>101</v>
      </c>
      <c r="C11" s="7">
        <f>VLOOKUP(B11,ポイント!$A$1:$D$43,4,FALSE)</f>
        <v>571</v>
      </c>
      <c r="D11" s="2">
        <f>ステ計算型!$B$4</f>
        <v>5</v>
      </c>
      <c r="E11" s="2">
        <f>ステ計算型!$B$6</f>
        <v>127</v>
      </c>
      <c r="F11" s="2">
        <f>ステ計算型!$B$8</f>
        <v>10</v>
      </c>
      <c r="G11" s="2">
        <f>ステ計算型!$B$9</f>
        <v>82</v>
      </c>
      <c r="H11" s="7">
        <f t="shared" si="7"/>
        <v>347</v>
      </c>
      <c r="I11" s="5">
        <f>ステ計算型!$K$3</f>
        <v>7390</v>
      </c>
      <c r="J11" s="5">
        <f>ステ計算型!$N$3</f>
        <v>66</v>
      </c>
      <c r="K11" s="5">
        <v>12</v>
      </c>
      <c r="L11" s="7">
        <f t="shared" si="8"/>
        <v>335</v>
      </c>
      <c r="M11" s="7">
        <f t="shared" si="2"/>
        <v>32481</v>
      </c>
      <c r="N11" s="2">
        <v>1</v>
      </c>
      <c r="O11" s="7">
        <f t="shared" si="0"/>
        <v>0.15</v>
      </c>
      <c r="P11" s="7">
        <f t="shared" si="9"/>
        <v>0.15</v>
      </c>
      <c r="Q11" s="2">
        <f>ステ計算型!$I$29</f>
        <v>1</v>
      </c>
      <c r="R11" s="2">
        <f>ステ計算型!$E$33</f>
        <v>0.2</v>
      </c>
      <c r="S11" s="7">
        <f t="shared" si="10"/>
        <v>2.544</v>
      </c>
      <c r="T11" s="2">
        <f>ステ計算型!$I$27</f>
        <v>1.1000000000000001</v>
      </c>
      <c r="U11" s="2">
        <f>ステ計算型!$J$29</f>
        <v>2</v>
      </c>
      <c r="V11" s="2">
        <f>ステ計算型!$F$32</f>
        <v>0.75</v>
      </c>
      <c r="W11" s="2">
        <f>ステ計算型!$G$34</f>
        <v>1</v>
      </c>
      <c r="X11" s="7">
        <f t="shared" si="6"/>
        <v>66005.939340000012</v>
      </c>
      <c r="Y11" s="7">
        <f t="shared" si="3"/>
        <v>400</v>
      </c>
      <c r="Z11" s="7">
        <f t="shared" si="4"/>
        <v>1</v>
      </c>
      <c r="AA11" s="38">
        <f>IF(L11&lt;ステ計算型!$A$20,0,1)</f>
        <v>1</v>
      </c>
      <c r="AB11" s="3">
        <f t="shared" si="5"/>
        <v>66005.939340000012</v>
      </c>
    </row>
    <row r="12" spans="1:37" ht="8.25" customHeight="1">
      <c r="A12" s="3">
        <f t="shared" si="1"/>
        <v>65949.77466000001</v>
      </c>
      <c r="B12" s="2">
        <f>ステ計算型!$B$2</f>
        <v>101</v>
      </c>
      <c r="C12" s="7">
        <f>VLOOKUP(B12,ポイント!$A$1:$D$43,4,FALSE)</f>
        <v>571</v>
      </c>
      <c r="D12" s="2">
        <f>ステ計算型!$B$4</f>
        <v>5</v>
      </c>
      <c r="E12" s="2">
        <f>ステ計算型!$B$6</f>
        <v>127</v>
      </c>
      <c r="F12" s="2">
        <f>ステ計算型!$B$8</f>
        <v>10</v>
      </c>
      <c r="G12" s="2">
        <f>ステ計算型!$B$9</f>
        <v>82</v>
      </c>
      <c r="H12" s="7">
        <f t="shared" si="7"/>
        <v>347</v>
      </c>
      <c r="I12" s="5">
        <f>ステ計算型!$K$3</f>
        <v>7390</v>
      </c>
      <c r="J12" s="5">
        <f>ステ計算型!$N$3</f>
        <v>66</v>
      </c>
      <c r="K12" s="5">
        <v>13</v>
      </c>
      <c r="L12" s="7">
        <f t="shared" si="8"/>
        <v>334</v>
      </c>
      <c r="M12" s="7">
        <f t="shared" si="2"/>
        <v>32406</v>
      </c>
      <c r="N12" s="2">
        <v>1</v>
      </c>
      <c r="O12" s="7">
        <f t="shared" si="0"/>
        <v>0.15</v>
      </c>
      <c r="P12" s="7">
        <f t="shared" si="9"/>
        <v>0.15</v>
      </c>
      <c r="Q12" s="2">
        <f>ステ計算型!$I$29</f>
        <v>1</v>
      </c>
      <c r="R12" s="2">
        <f>ステ計算型!$E$33</f>
        <v>0.2</v>
      </c>
      <c r="S12" s="7">
        <f t="shared" si="10"/>
        <v>2.5559999999999996</v>
      </c>
      <c r="T12" s="2">
        <f>ステ計算型!$I$27</f>
        <v>1.1000000000000001</v>
      </c>
      <c r="U12" s="2">
        <f>ステ計算型!$J$29</f>
        <v>2</v>
      </c>
      <c r="V12" s="2">
        <f>ステ計算型!$F$32</f>
        <v>0.75</v>
      </c>
      <c r="W12" s="2">
        <f>ステ計算型!$G$34</f>
        <v>1</v>
      </c>
      <c r="X12" s="7">
        <f t="shared" si="6"/>
        <v>65949.77466000001</v>
      </c>
      <c r="Y12" s="7">
        <f t="shared" si="3"/>
        <v>400</v>
      </c>
      <c r="Z12" s="7">
        <f t="shared" si="4"/>
        <v>1</v>
      </c>
      <c r="AA12" s="38">
        <f>IF(L12&lt;ステ計算型!$A$20,0,1)</f>
        <v>1</v>
      </c>
      <c r="AB12" s="3">
        <f t="shared" si="5"/>
        <v>65949.77466000001</v>
      </c>
    </row>
    <row r="13" spans="1:37" ht="8.25" customHeight="1">
      <c r="A13" s="3">
        <f t="shared" si="1"/>
        <v>66729.632112000021</v>
      </c>
      <c r="B13" s="2">
        <f>ステ計算型!$B$2</f>
        <v>101</v>
      </c>
      <c r="C13" s="7">
        <f>VLOOKUP(B13,ポイント!$A$1:$D$43,4,FALSE)</f>
        <v>571</v>
      </c>
      <c r="D13" s="2">
        <f>ステ計算型!$B$4</f>
        <v>5</v>
      </c>
      <c r="E13" s="2">
        <f>ステ計算型!$B$6</f>
        <v>127</v>
      </c>
      <c r="F13" s="2">
        <f>ステ計算型!$B$8</f>
        <v>10</v>
      </c>
      <c r="G13" s="2">
        <f>ステ計算型!$B$9</f>
        <v>82</v>
      </c>
      <c r="H13" s="7">
        <f t="shared" si="7"/>
        <v>347</v>
      </c>
      <c r="I13" s="5">
        <f>ステ計算型!$K$3</f>
        <v>7390</v>
      </c>
      <c r="J13" s="5">
        <f>ステ計算型!$N$3</f>
        <v>66</v>
      </c>
      <c r="K13" s="5">
        <v>14</v>
      </c>
      <c r="L13" s="7">
        <f t="shared" si="8"/>
        <v>333</v>
      </c>
      <c r="M13" s="7">
        <f t="shared" si="2"/>
        <v>32331</v>
      </c>
      <c r="N13" s="2">
        <v>1</v>
      </c>
      <c r="O13" s="7">
        <f t="shared" si="0"/>
        <v>0.16</v>
      </c>
      <c r="P13" s="7">
        <f t="shared" si="9"/>
        <v>0.16</v>
      </c>
      <c r="Q13" s="2">
        <f>ステ計算型!$I$29</f>
        <v>1</v>
      </c>
      <c r="R13" s="2">
        <f>ステ計算型!$E$33</f>
        <v>0.2</v>
      </c>
      <c r="S13" s="7">
        <f t="shared" si="10"/>
        <v>2.5680000000000001</v>
      </c>
      <c r="T13" s="2">
        <f>ステ計算型!$I$27</f>
        <v>1.1000000000000001</v>
      </c>
      <c r="U13" s="2">
        <f>ステ計算型!$J$29</f>
        <v>2</v>
      </c>
      <c r="V13" s="2">
        <f>ステ計算型!$F$32</f>
        <v>0.75</v>
      </c>
      <c r="W13" s="2">
        <f>ステ計算型!$G$34</f>
        <v>1</v>
      </c>
      <c r="X13" s="7">
        <f t="shared" si="6"/>
        <v>66729.632112000021</v>
      </c>
      <c r="Y13" s="7">
        <f t="shared" si="3"/>
        <v>400</v>
      </c>
      <c r="Z13" s="7">
        <f t="shared" si="4"/>
        <v>1</v>
      </c>
      <c r="AA13" s="38">
        <f>IF(L13&lt;ステ計算型!$A$20,0,1)</f>
        <v>1</v>
      </c>
      <c r="AB13" s="3">
        <f t="shared" si="5"/>
        <v>66729.632112000021</v>
      </c>
    </row>
    <row r="14" spans="1:37" ht="8.25" customHeight="1">
      <c r="A14" s="3">
        <f t="shared" si="1"/>
        <v>66677.022720000008</v>
      </c>
      <c r="B14" s="2">
        <f>ステ計算型!$B$2</f>
        <v>101</v>
      </c>
      <c r="C14" s="7">
        <f>VLOOKUP(B14,ポイント!$A$1:$D$43,4,FALSE)</f>
        <v>571</v>
      </c>
      <c r="D14" s="2">
        <f>ステ計算型!$B$4</f>
        <v>5</v>
      </c>
      <c r="E14" s="2">
        <f>ステ計算型!$B$6</f>
        <v>127</v>
      </c>
      <c r="F14" s="2">
        <f>ステ計算型!$B$8</f>
        <v>10</v>
      </c>
      <c r="G14" s="2">
        <f>ステ計算型!$B$9</f>
        <v>82</v>
      </c>
      <c r="H14" s="7">
        <f t="shared" si="7"/>
        <v>347</v>
      </c>
      <c r="I14" s="5">
        <f>ステ計算型!$K$3</f>
        <v>7390</v>
      </c>
      <c r="J14" s="5">
        <f>ステ計算型!$N$3</f>
        <v>66</v>
      </c>
      <c r="K14" s="5">
        <v>15</v>
      </c>
      <c r="L14" s="7">
        <f t="shared" si="8"/>
        <v>332</v>
      </c>
      <c r="M14" s="7">
        <f t="shared" si="2"/>
        <v>32256</v>
      </c>
      <c r="N14" s="2">
        <v>1</v>
      </c>
      <c r="O14" s="7">
        <f t="shared" si="0"/>
        <v>0.16</v>
      </c>
      <c r="P14" s="7">
        <f t="shared" si="9"/>
        <v>0.16</v>
      </c>
      <c r="Q14" s="2">
        <f>ステ計算型!$I$29</f>
        <v>1</v>
      </c>
      <c r="R14" s="2">
        <f>ステ計算型!$E$33</f>
        <v>0.2</v>
      </c>
      <c r="S14" s="7">
        <f t="shared" si="10"/>
        <v>2.5799999999999996</v>
      </c>
      <c r="T14" s="2">
        <f>ステ計算型!$I$27</f>
        <v>1.1000000000000001</v>
      </c>
      <c r="U14" s="2">
        <f>ステ計算型!$J$29</f>
        <v>2</v>
      </c>
      <c r="V14" s="2">
        <f>ステ計算型!$F$32</f>
        <v>0.75</v>
      </c>
      <c r="W14" s="2">
        <f>ステ計算型!$G$34</f>
        <v>1</v>
      </c>
      <c r="X14" s="7">
        <f t="shared" si="6"/>
        <v>66677.022720000008</v>
      </c>
      <c r="Y14" s="7">
        <f t="shared" si="3"/>
        <v>400</v>
      </c>
      <c r="Z14" s="7">
        <f t="shared" si="4"/>
        <v>1</v>
      </c>
      <c r="AA14" s="38">
        <f>IF(L14&lt;ステ計算型!$A$20,0,1)</f>
        <v>1</v>
      </c>
      <c r="AB14" s="3">
        <f t="shared" si="5"/>
        <v>66677.022720000008</v>
      </c>
    </row>
    <row r="15" spans="1:37" ht="8.25" customHeight="1">
      <c r="A15" s="3">
        <f t="shared" si="1"/>
        <v>66623.938128000009</v>
      </c>
      <c r="B15" s="2">
        <f>ステ計算型!$B$2</f>
        <v>101</v>
      </c>
      <c r="C15" s="7">
        <f>VLOOKUP(B15,ポイント!$A$1:$D$43,4,FALSE)</f>
        <v>571</v>
      </c>
      <c r="D15" s="2">
        <f>ステ計算型!$B$4</f>
        <v>5</v>
      </c>
      <c r="E15" s="2">
        <f>ステ計算型!$B$6</f>
        <v>127</v>
      </c>
      <c r="F15" s="2">
        <f>ステ計算型!$B$8</f>
        <v>10</v>
      </c>
      <c r="G15" s="2">
        <f>ステ計算型!$B$9</f>
        <v>82</v>
      </c>
      <c r="H15" s="7">
        <f t="shared" si="7"/>
        <v>347</v>
      </c>
      <c r="I15" s="5">
        <f>ステ計算型!$K$3</f>
        <v>7390</v>
      </c>
      <c r="J15" s="5">
        <f>ステ計算型!$N$3</f>
        <v>66</v>
      </c>
      <c r="K15" s="5">
        <v>16</v>
      </c>
      <c r="L15" s="7">
        <f t="shared" si="8"/>
        <v>331</v>
      </c>
      <c r="M15" s="7">
        <f t="shared" si="2"/>
        <v>32181</v>
      </c>
      <c r="N15" s="2">
        <v>1</v>
      </c>
      <c r="O15" s="7">
        <f t="shared" si="0"/>
        <v>0.16</v>
      </c>
      <c r="P15" s="7">
        <f t="shared" si="9"/>
        <v>0.16</v>
      </c>
      <c r="Q15" s="2">
        <f>ステ計算型!$I$29</f>
        <v>1</v>
      </c>
      <c r="R15" s="2">
        <f>ステ計算型!$E$33</f>
        <v>0.2</v>
      </c>
      <c r="S15" s="7">
        <f t="shared" si="10"/>
        <v>2.5920000000000001</v>
      </c>
      <c r="T15" s="2">
        <f>ステ計算型!$I$27</f>
        <v>1.1000000000000001</v>
      </c>
      <c r="U15" s="2">
        <f>ステ計算型!$J$29</f>
        <v>2</v>
      </c>
      <c r="V15" s="2">
        <f>ステ計算型!$F$32</f>
        <v>0.75</v>
      </c>
      <c r="W15" s="2">
        <f>ステ計算型!$G$34</f>
        <v>1</v>
      </c>
      <c r="X15" s="7">
        <f t="shared" si="6"/>
        <v>66623.938128000009</v>
      </c>
      <c r="Y15" s="7">
        <f t="shared" si="3"/>
        <v>400</v>
      </c>
      <c r="Z15" s="7">
        <f t="shared" si="4"/>
        <v>1</v>
      </c>
      <c r="AA15" s="38">
        <f>IF(L15&lt;ステ計算型!$A$20,0,1)</f>
        <v>1</v>
      </c>
      <c r="AB15" s="3">
        <f t="shared" si="5"/>
        <v>66623.938128000009</v>
      </c>
    </row>
    <row r="16" spans="1:37" ht="8.25" customHeight="1">
      <c r="A16" s="3">
        <f t="shared" si="1"/>
        <v>66572.451792000007</v>
      </c>
      <c r="B16" s="2">
        <f>ステ計算型!$B$2</f>
        <v>101</v>
      </c>
      <c r="C16" s="7">
        <f>VLOOKUP(B16,ポイント!$A$1:$D$43,4,FALSE)</f>
        <v>571</v>
      </c>
      <c r="D16" s="2">
        <f>ステ計算型!$B$4</f>
        <v>5</v>
      </c>
      <c r="E16" s="2">
        <f>ステ計算型!$B$6</f>
        <v>127</v>
      </c>
      <c r="F16" s="2">
        <f>ステ計算型!$B$8</f>
        <v>10</v>
      </c>
      <c r="G16" s="2">
        <f>ステ計算型!$B$9</f>
        <v>82</v>
      </c>
      <c r="H16" s="7">
        <f t="shared" si="7"/>
        <v>347</v>
      </c>
      <c r="I16" s="5">
        <f>ステ計算型!$K$3</f>
        <v>7390</v>
      </c>
      <c r="J16" s="5">
        <f>ステ計算型!$N$3</f>
        <v>66</v>
      </c>
      <c r="K16" s="5">
        <v>17</v>
      </c>
      <c r="L16" s="7">
        <f t="shared" si="8"/>
        <v>330</v>
      </c>
      <c r="M16" s="7">
        <f t="shared" si="2"/>
        <v>32107</v>
      </c>
      <c r="N16" s="2">
        <v>1</v>
      </c>
      <c r="O16" s="7">
        <f t="shared" si="0"/>
        <v>0.16</v>
      </c>
      <c r="P16" s="7">
        <f t="shared" si="9"/>
        <v>0.16</v>
      </c>
      <c r="Q16" s="2">
        <f>ステ計算型!$I$29</f>
        <v>1</v>
      </c>
      <c r="R16" s="2">
        <f>ステ計算型!$E$33</f>
        <v>0.2</v>
      </c>
      <c r="S16" s="7">
        <f t="shared" si="10"/>
        <v>2.6039999999999996</v>
      </c>
      <c r="T16" s="2">
        <f>ステ計算型!$I$27</f>
        <v>1.1000000000000001</v>
      </c>
      <c r="U16" s="2">
        <f>ステ計算型!$J$29</f>
        <v>2</v>
      </c>
      <c r="V16" s="2">
        <f>ステ計算型!$F$32</f>
        <v>0.75</v>
      </c>
      <c r="W16" s="2">
        <f>ステ計算型!$G$34</f>
        <v>1</v>
      </c>
      <c r="X16" s="7">
        <f t="shared" ref="X16:X79" si="11">M16*(P16*S16+1-P16)*T16*U16*V16*W16</f>
        <v>66572.451792000007</v>
      </c>
      <c r="Y16" s="7">
        <f t="shared" si="3"/>
        <v>400</v>
      </c>
      <c r="Z16" s="7">
        <f t="shared" si="4"/>
        <v>1</v>
      </c>
      <c r="AA16" s="38">
        <f>IF(L16&lt;ステ計算型!$A$20,0,1)</f>
        <v>1</v>
      </c>
      <c r="AB16" s="3">
        <f t="shared" si="5"/>
        <v>66572.451792000007</v>
      </c>
    </row>
    <row r="17" spans="1:28" ht="8.25" customHeight="1">
      <c r="A17" s="3">
        <f t="shared" si="1"/>
        <v>66518.419968000017</v>
      </c>
      <c r="B17" s="2">
        <f>ステ計算型!$B$2</f>
        <v>101</v>
      </c>
      <c r="C17" s="7">
        <f>VLOOKUP(B17,ポイント!$A$1:$D$43,4,FALSE)</f>
        <v>571</v>
      </c>
      <c r="D17" s="2">
        <f>ステ計算型!$B$4</f>
        <v>5</v>
      </c>
      <c r="E17" s="2">
        <f>ステ計算型!$B$6</f>
        <v>127</v>
      </c>
      <c r="F17" s="2">
        <f>ステ計算型!$B$8</f>
        <v>10</v>
      </c>
      <c r="G17" s="2">
        <f>ステ計算型!$B$9</f>
        <v>82</v>
      </c>
      <c r="H17" s="7">
        <f t="shared" ref="H17:H80" si="12">C17-D17-E17-F17-G17</f>
        <v>347</v>
      </c>
      <c r="I17" s="5">
        <f>ステ計算型!$K$3</f>
        <v>7390</v>
      </c>
      <c r="J17" s="5">
        <f>ステ計算型!$N$3</f>
        <v>66</v>
      </c>
      <c r="K17" s="5">
        <v>18</v>
      </c>
      <c r="L17" s="7">
        <f t="shared" ref="L17:L80" si="13">H17-K17</f>
        <v>329</v>
      </c>
      <c r="M17" s="7">
        <f t="shared" si="2"/>
        <v>32032</v>
      </c>
      <c r="N17" s="2">
        <v>1</v>
      </c>
      <c r="O17" s="7">
        <f t="shared" si="0"/>
        <v>0.16</v>
      </c>
      <c r="P17" s="7">
        <f t="shared" ref="P17:P80" si="14">IF(O17&gt;0.5,0.5,O17)</f>
        <v>0.16</v>
      </c>
      <c r="Q17" s="2">
        <f>ステ計算型!$I$29</f>
        <v>1</v>
      </c>
      <c r="R17" s="2">
        <f>ステ計算型!$E$33</f>
        <v>0.2</v>
      </c>
      <c r="S17" s="7">
        <f t="shared" ref="S17:S80" si="15">(K17/100+2)*Q17*(R17*2+1-R17)</f>
        <v>2.6160000000000001</v>
      </c>
      <c r="T17" s="2">
        <f>ステ計算型!$I$27</f>
        <v>1.1000000000000001</v>
      </c>
      <c r="U17" s="2">
        <f>ステ計算型!$J$29</f>
        <v>2</v>
      </c>
      <c r="V17" s="2">
        <f>ステ計算型!$F$32</f>
        <v>0.75</v>
      </c>
      <c r="W17" s="2">
        <f>ステ計算型!$G$34</f>
        <v>1</v>
      </c>
      <c r="X17" s="7">
        <f t="shared" si="11"/>
        <v>66518.419968000017</v>
      </c>
      <c r="Y17" s="7">
        <f t="shared" si="3"/>
        <v>400</v>
      </c>
      <c r="Z17" s="7">
        <f t="shared" si="4"/>
        <v>1</v>
      </c>
      <c r="AA17" s="38">
        <f>IF(L17&lt;ステ計算型!$A$20,0,1)</f>
        <v>1</v>
      </c>
      <c r="AB17" s="3">
        <f t="shared" si="5"/>
        <v>66518.419968000017</v>
      </c>
    </row>
    <row r="18" spans="1:28" ht="8.25" customHeight="1">
      <c r="A18" s="3">
        <f t="shared" si="1"/>
        <v>66463.912943999996</v>
      </c>
      <c r="B18" s="2">
        <f>ステ計算型!$B$2</f>
        <v>101</v>
      </c>
      <c r="C18" s="7">
        <f>VLOOKUP(B18,ポイント!$A$1:$D$43,4,FALSE)</f>
        <v>571</v>
      </c>
      <c r="D18" s="2">
        <f>ステ計算型!$B$4</f>
        <v>5</v>
      </c>
      <c r="E18" s="2">
        <f>ステ計算型!$B$6</f>
        <v>127</v>
      </c>
      <c r="F18" s="2">
        <f>ステ計算型!$B$8</f>
        <v>10</v>
      </c>
      <c r="G18" s="2">
        <f>ステ計算型!$B$9</f>
        <v>82</v>
      </c>
      <c r="H18" s="7">
        <f t="shared" si="12"/>
        <v>347</v>
      </c>
      <c r="I18" s="5">
        <f>ステ計算型!$K$3</f>
        <v>7390</v>
      </c>
      <c r="J18" s="5">
        <f>ステ計算型!$N$3</f>
        <v>66</v>
      </c>
      <c r="K18" s="5">
        <v>19</v>
      </c>
      <c r="L18" s="7">
        <f t="shared" si="13"/>
        <v>328</v>
      </c>
      <c r="M18" s="7">
        <f t="shared" si="2"/>
        <v>31957</v>
      </c>
      <c r="N18" s="2">
        <v>1</v>
      </c>
      <c r="O18" s="7">
        <f t="shared" si="0"/>
        <v>0.16</v>
      </c>
      <c r="P18" s="7">
        <f t="shared" si="14"/>
        <v>0.16</v>
      </c>
      <c r="Q18" s="2">
        <f>ステ計算型!$I$29</f>
        <v>1</v>
      </c>
      <c r="R18" s="2">
        <f>ステ計算型!$E$33</f>
        <v>0.2</v>
      </c>
      <c r="S18" s="7">
        <f t="shared" si="15"/>
        <v>2.6279999999999997</v>
      </c>
      <c r="T18" s="2">
        <f>ステ計算型!$I$27</f>
        <v>1.1000000000000001</v>
      </c>
      <c r="U18" s="2">
        <f>ステ計算型!$J$29</f>
        <v>2</v>
      </c>
      <c r="V18" s="2">
        <f>ステ計算型!$F$32</f>
        <v>0.75</v>
      </c>
      <c r="W18" s="2">
        <f>ステ計算型!$G$34</f>
        <v>1</v>
      </c>
      <c r="X18" s="7">
        <f t="shared" si="11"/>
        <v>66463.912943999996</v>
      </c>
      <c r="Y18" s="7">
        <f t="shared" si="3"/>
        <v>400</v>
      </c>
      <c r="Z18" s="7">
        <f t="shared" si="4"/>
        <v>1</v>
      </c>
      <c r="AA18" s="38">
        <f>IF(L18&lt;ステ計算型!$A$20,0,1)</f>
        <v>1</v>
      </c>
      <c r="AB18" s="3">
        <f t="shared" si="5"/>
        <v>66463.912943999996</v>
      </c>
    </row>
    <row r="19" spans="1:28" ht="8.25" customHeight="1">
      <c r="A19" s="3">
        <f t="shared" si="1"/>
        <v>66408.930720000004</v>
      </c>
      <c r="B19" s="2">
        <f>ステ計算型!$B$2</f>
        <v>101</v>
      </c>
      <c r="C19" s="7">
        <f>VLOOKUP(B19,ポイント!$A$1:$D$43,4,FALSE)</f>
        <v>571</v>
      </c>
      <c r="D19" s="2">
        <f>ステ計算型!$B$4</f>
        <v>5</v>
      </c>
      <c r="E19" s="2">
        <f>ステ計算型!$B$6</f>
        <v>127</v>
      </c>
      <c r="F19" s="2">
        <f>ステ計算型!$B$8</f>
        <v>10</v>
      </c>
      <c r="G19" s="2">
        <f>ステ計算型!$B$9</f>
        <v>82</v>
      </c>
      <c r="H19" s="7">
        <f t="shared" si="12"/>
        <v>347</v>
      </c>
      <c r="I19" s="5">
        <f>ステ計算型!$K$3</f>
        <v>7390</v>
      </c>
      <c r="J19" s="5">
        <f>ステ計算型!$N$3</f>
        <v>66</v>
      </c>
      <c r="K19" s="5">
        <v>20</v>
      </c>
      <c r="L19" s="7">
        <f t="shared" si="13"/>
        <v>327</v>
      </c>
      <c r="M19" s="7">
        <f t="shared" si="2"/>
        <v>31882</v>
      </c>
      <c r="N19" s="2">
        <v>1</v>
      </c>
      <c r="O19" s="7">
        <f t="shared" si="0"/>
        <v>0.16</v>
      </c>
      <c r="P19" s="7">
        <f t="shared" si="14"/>
        <v>0.16</v>
      </c>
      <c r="Q19" s="2">
        <f>ステ計算型!$I$29</f>
        <v>1</v>
      </c>
      <c r="R19" s="2">
        <f>ステ計算型!$E$33</f>
        <v>0.2</v>
      </c>
      <c r="S19" s="7">
        <f t="shared" si="15"/>
        <v>2.64</v>
      </c>
      <c r="T19" s="2">
        <f>ステ計算型!$I$27</f>
        <v>1.1000000000000001</v>
      </c>
      <c r="U19" s="2">
        <f>ステ計算型!$J$29</f>
        <v>2</v>
      </c>
      <c r="V19" s="2">
        <f>ステ計算型!$F$32</f>
        <v>0.75</v>
      </c>
      <c r="W19" s="2">
        <f>ステ計算型!$G$34</f>
        <v>1</v>
      </c>
      <c r="X19" s="7">
        <f t="shared" si="11"/>
        <v>66408.930720000004</v>
      </c>
      <c r="Y19" s="7">
        <f t="shared" si="3"/>
        <v>400</v>
      </c>
      <c r="Z19" s="7">
        <f t="shared" si="4"/>
        <v>1</v>
      </c>
      <c r="AA19" s="38">
        <f>IF(L19&lt;ステ計算型!$A$20,0,1)</f>
        <v>1</v>
      </c>
      <c r="AB19" s="3">
        <f t="shared" si="5"/>
        <v>66408.930720000004</v>
      </c>
    </row>
    <row r="20" spans="1:28" ht="8.25" customHeight="1">
      <c r="A20" s="3">
        <f t="shared" si="1"/>
        <v>66353.473296000011</v>
      </c>
      <c r="B20" s="2">
        <f>ステ計算型!$B$2</f>
        <v>101</v>
      </c>
      <c r="C20" s="7">
        <f>VLOOKUP(B20,ポイント!$A$1:$D$43,4,FALSE)</f>
        <v>571</v>
      </c>
      <c r="D20" s="2">
        <f>ステ計算型!$B$4</f>
        <v>5</v>
      </c>
      <c r="E20" s="2">
        <f>ステ計算型!$B$6</f>
        <v>127</v>
      </c>
      <c r="F20" s="2">
        <f>ステ計算型!$B$8</f>
        <v>10</v>
      </c>
      <c r="G20" s="2">
        <f>ステ計算型!$B$9</f>
        <v>82</v>
      </c>
      <c r="H20" s="7">
        <f t="shared" si="12"/>
        <v>347</v>
      </c>
      <c r="I20" s="5">
        <f>ステ計算型!$K$3</f>
        <v>7390</v>
      </c>
      <c r="J20" s="5">
        <f>ステ計算型!$N$3</f>
        <v>66</v>
      </c>
      <c r="K20" s="5">
        <v>21</v>
      </c>
      <c r="L20" s="7">
        <f t="shared" si="13"/>
        <v>326</v>
      </c>
      <c r="M20" s="7">
        <f t="shared" si="2"/>
        <v>31807</v>
      </c>
      <c r="N20" s="2">
        <v>1</v>
      </c>
      <c r="O20" s="7">
        <f t="shared" si="0"/>
        <v>0.16</v>
      </c>
      <c r="P20" s="7">
        <f t="shared" si="14"/>
        <v>0.16</v>
      </c>
      <c r="Q20" s="2">
        <f>ステ計算型!$I$29</f>
        <v>1</v>
      </c>
      <c r="R20" s="2">
        <f>ステ計算型!$E$33</f>
        <v>0.2</v>
      </c>
      <c r="S20" s="7">
        <f t="shared" si="15"/>
        <v>2.6519999999999997</v>
      </c>
      <c r="T20" s="2">
        <f>ステ計算型!$I$27</f>
        <v>1.1000000000000001</v>
      </c>
      <c r="U20" s="2">
        <f>ステ計算型!$J$29</f>
        <v>2</v>
      </c>
      <c r="V20" s="2">
        <f>ステ計算型!$F$32</f>
        <v>0.75</v>
      </c>
      <c r="W20" s="2">
        <f>ステ計算型!$G$34</f>
        <v>1</v>
      </c>
      <c r="X20" s="7">
        <f t="shared" si="11"/>
        <v>66353.473296000011</v>
      </c>
      <c r="Y20" s="7">
        <f t="shared" si="3"/>
        <v>400</v>
      </c>
      <c r="Z20" s="7">
        <f t="shared" si="4"/>
        <v>1</v>
      </c>
      <c r="AA20" s="38">
        <f>IF(L20&lt;ステ計算型!$A$20,0,1)</f>
        <v>1</v>
      </c>
      <c r="AB20" s="3">
        <f t="shared" si="5"/>
        <v>66353.473296000011</v>
      </c>
    </row>
    <row r="21" spans="1:28" ht="8.25" customHeight="1">
      <c r="A21" s="3">
        <f t="shared" si="1"/>
        <v>67168.774464000002</v>
      </c>
      <c r="B21" s="2">
        <f>ステ計算型!$B$2</f>
        <v>101</v>
      </c>
      <c r="C21" s="7">
        <f>VLOOKUP(B21,ポイント!$A$1:$D$43,4,FALSE)</f>
        <v>571</v>
      </c>
      <c r="D21" s="2">
        <f>ステ計算型!$B$4</f>
        <v>5</v>
      </c>
      <c r="E21" s="2">
        <f>ステ計算型!$B$6</f>
        <v>127</v>
      </c>
      <c r="F21" s="2">
        <f>ステ計算型!$B$8</f>
        <v>10</v>
      </c>
      <c r="G21" s="2">
        <f>ステ計算型!$B$9</f>
        <v>82</v>
      </c>
      <c r="H21" s="7">
        <f t="shared" si="12"/>
        <v>347</v>
      </c>
      <c r="I21" s="5">
        <f>ステ計算型!$K$3</f>
        <v>7390</v>
      </c>
      <c r="J21" s="5">
        <f>ステ計算型!$N$3</f>
        <v>66</v>
      </c>
      <c r="K21" s="5">
        <v>22</v>
      </c>
      <c r="L21" s="7">
        <f t="shared" si="13"/>
        <v>325</v>
      </c>
      <c r="M21" s="7">
        <f t="shared" si="2"/>
        <v>31732</v>
      </c>
      <c r="N21" s="2">
        <v>1</v>
      </c>
      <c r="O21" s="7">
        <f t="shared" si="0"/>
        <v>0.17</v>
      </c>
      <c r="P21" s="7">
        <f t="shared" si="14"/>
        <v>0.17</v>
      </c>
      <c r="Q21" s="2">
        <f>ステ計算型!$I$29</f>
        <v>1</v>
      </c>
      <c r="R21" s="2">
        <f>ステ計算型!$E$33</f>
        <v>0.2</v>
      </c>
      <c r="S21" s="7">
        <f t="shared" si="15"/>
        <v>2.6640000000000001</v>
      </c>
      <c r="T21" s="2">
        <f>ステ計算型!$I$27</f>
        <v>1.1000000000000001</v>
      </c>
      <c r="U21" s="2">
        <f>ステ計算型!$J$29</f>
        <v>2</v>
      </c>
      <c r="V21" s="2">
        <f>ステ計算型!$F$32</f>
        <v>0.75</v>
      </c>
      <c r="W21" s="2">
        <f>ステ計算型!$G$34</f>
        <v>1</v>
      </c>
      <c r="X21" s="7">
        <f t="shared" si="11"/>
        <v>67168.774464000002</v>
      </c>
      <c r="Y21" s="7">
        <f t="shared" si="3"/>
        <v>400</v>
      </c>
      <c r="Z21" s="7">
        <f t="shared" si="4"/>
        <v>1</v>
      </c>
      <c r="AA21" s="38">
        <f>IF(L21&lt;ステ計算型!$A$20,0,1)</f>
        <v>1</v>
      </c>
      <c r="AB21" s="3">
        <f t="shared" si="5"/>
        <v>67168.774464000002</v>
      </c>
    </row>
    <row r="22" spans="1:28" ht="8.25" customHeight="1">
      <c r="A22" s="3">
        <f t="shared" si="1"/>
        <v>67116.575526000015</v>
      </c>
      <c r="B22" s="2">
        <f>ステ計算型!$B$2</f>
        <v>101</v>
      </c>
      <c r="C22" s="7">
        <f>VLOOKUP(B22,ポイント!$A$1:$D$43,4,FALSE)</f>
        <v>571</v>
      </c>
      <c r="D22" s="2">
        <f>ステ計算型!$B$4</f>
        <v>5</v>
      </c>
      <c r="E22" s="2">
        <f>ステ計算型!$B$6</f>
        <v>127</v>
      </c>
      <c r="F22" s="2">
        <f>ステ計算型!$B$8</f>
        <v>10</v>
      </c>
      <c r="G22" s="2">
        <f>ステ計算型!$B$9</f>
        <v>82</v>
      </c>
      <c r="H22" s="7">
        <f t="shared" si="12"/>
        <v>347</v>
      </c>
      <c r="I22" s="5">
        <f>ステ計算型!$K$3</f>
        <v>7390</v>
      </c>
      <c r="J22" s="5">
        <f>ステ計算型!$N$3</f>
        <v>66</v>
      </c>
      <c r="K22" s="5">
        <v>23</v>
      </c>
      <c r="L22" s="7">
        <f t="shared" si="13"/>
        <v>324</v>
      </c>
      <c r="M22" s="7">
        <f t="shared" si="2"/>
        <v>31657</v>
      </c>
      <c r="N22" s="2">
        <v>1</v>
      </c>
      <c r="O22" s="7">
        <f t="shared" si="0"/>
        <v>0.17</v>
      </c>
      <c r="P22" s="7">
        <f t="shared" si="14"/>
        <v>0.17</v>
      </c>
      <c r="Q22" s="2">
        <f>ステ計算型!$I$29</f>
        <v>1</v>
      </c>
      <c r="R22" s="2">
        <f>ステ計算型!$E$33</f>
        <v>0.2</v>
      </c>
      <c r="S22" s="7">
        <f t="shared" si="15"/>
        <v>2.6759999999999997</v>
      </c>
      <c r="T22" s="2">
        <f>ステ計算型!$I$27</f>
        <v>1.1000000000000001</v>
      </c>
      <c r="U22" s="2">
        <f>ステ計算型!$J$29</f>
        <v>2</v>
      </c>
      <c r="V22" s="2">
        <f>ステ計算型!$F$32</f>
        <v>0.75</v>
      </c>
      <c r="W22" s="2">
        <f>ステ計算型!$G$34</f>
        <v>1</v>
      </c>
      <c r="X22" s="7">
        <f t="shared" si="11"/>
        <v>67116.575526000015</v>
      </c>
      <c r="Y22" s="7">
        <f t="shared" si="3"/>
        <v>400</v>
      </c>
      <c r="Z22" s="7">
        <f t="shared" si="4"/>
        <v>1</v>
      </c>
      <c r="AA22" s="38">
        <f>IF(L22&lt;ステ計算型!$A$20,0,1)</f>
        <v>1</v>
      </c>
      <c r="AB22" s="3">
        <f t="shared" si="5"/>
        <v>67116.575526000015</v>
      </c>
    </row>
    <row r="23" spans="1:28" ht="8.25" customHeight="1">
      <c r="A23" s="3">
        <f t="shared" si="1"/>
        <v>67063.871687999999</v>
      </c>
      <c r="B23" s="2">
        <f>ステ計算型!$B$2</f>
        <v>101</v>
      </c>
      <c r="C23" s="7">
        <f>VLOOKUP(B23,ポイント!$A$1:$D$43,4,FALSE)</f>
        <v>571</v>
      </c>
      <c r="D23" s="2">
        <f>ステ計算型!$B$4</f>
        <v>5</v>
      </c>
      <c r="E23" s="2">
        <f>ステ計算型!$B$6</f>
        <v>127</v>
      </c>
      <c r="F23" s="2">
        <f>ステ計算型!$B$8</f>
        <v>10</v>
      </c>
      <c r="G23" s="2">
        <f>ステ計算型!$B$9</f>
        <v>82</v>
      </c>
      <c r="H23" s="7">
        <f t="shared" si="12"/>
        <v>347</v>
      </c>
      <c r="I23" s="5">
        <f>ステ計算型!$K$3</f>
        <v>7390</v>
      </c>
      <c r="J23" s="5">
        <f>ステ計算型!$N$3</f>
        <v>66</v>
      </c>
      <c r="K23" s="5">
        <v>24</v>
      </c>
      <c r="L23" s="7">
        <f t="shared" si="13"/>
        <v>323</v>
      </c>
      <c r="M23" s="7">
        <f t="shared" si="2"/>
        <v>31582</v>
      </c>
      <c r="N23" s="2">
        <v>1</v>
      </c>
      <c r="O23" s="7">
        <f t="shared" si="0"/>
        <v>0.17</v>
      </c>
      <c r="P23" s="7">
        <f t="shared" si="14"/>
        <v>0.17</v>
      </c>
      <c r="Q23" s="2">
        <f>ステ計算型!$I$29</f>
        <v>1</v>
      </c>
      <c r="R23" s="2">
        <f>ステ計算型!$E$33</f>
        <v>0.2</v>
      </c>
      <c r="S23" s="7">
        <f t="shared" si="15"/>
        <v>2.6880000000000002</v>
      </c>
      <c r="T23" s="2">
        <f>ステ計算型!$I$27</f>
        <v>1.1000000000000001</v>
      </c>
      <c r="U23" s="2">
        <f>ステ計算型!$J$29</f>
        <v>2</v>
      </c>
      <c r="V23" s="2">
        <f>ステ計算型!$F$32</f>
        <v>0.75</v>
      </c>
      <c r="W23" s="2">
        <f>ステ計算型!$G$34</f>
        <v>1</v>
      </c>
      <c r="X23" s="7">
        <f t="shared" si="11"/>
        <v>67063.871687999999</v>
      </c>
      <c r="Y23" s="7">
        <f t="shared" si="3"/>
        <v>400</v>
      </c>
      <c r="Z23" s="7">
        <f t="shared" si="4"/>
        <v>1</v>
      </c>
      <c r="AA23" s="38">
        <f>IF(L23&lt;ステ計算型!$A$20,0,1)</f>
        <v>1</v>
      </c>
      <c r="AB23" s="3">
        <f t="shared" si="5"/>
        <v>67063.871687999999</v>
      </c>
    </row>
    <row r="24" spans="1:28" ht="8.25" customHeight="1">
      <c r="A24" s="3">
        <f t="shared" si="1"/>
        <v>67010.662949999998</v>
      </c>
      <c r="B24" s="2">
        <f>ステ計算型!$B$2</f>
        <v>101</v>
      </c>
      <c r="C24" s="7">
        <f>VLOOKUP(B24,ポイント!$A$1:$D$43,4,FALSE)</f>
        <v>571</v>
      </c>
      <c r="D24" s="2">
        <f>ステ計算型!$B$4</f>
        <v>5</v>
      </c>
      <c r="E24" s="2">
        <f>ステ計算型!$B$6</f>
        <v>127</v>
      </c>
      <c r="F24" s="2">
        <f>ステ計算型!$B$8</f>
        <v>10</v>
      </c>
      <c r="G24" s="2">
        <f>ステ計算型!$B$9</f>
        <v>82</v>
      </c>
      <c r="H24" s="7">
        <f t="shared" si="12"/>
        <v>347</v>
      </c>
      <c r="I24" s="5">
        <f>ステ計算型!$K$3</f>
        <v>7390</v>
      </c>
      <c r="J24" s="5">
        <f>ステ計算型!$N$3</f>
        <v>66</v>
      </c>
      <c r="K24" s="5">
        <v>25</v>
      </c>
      <c r="L24" s="7">
        <f t="shared" si="13"/>
        <v>322</v>
      </c>
      <c r="M24" s="7">
        <f t="shared" si="2"/>
        <v>31507</v>
      </c>
      <c r="N24" s="2">
        <v>1</v>
      </c>
      <c r="O24" s="7">
        <f t="shared" si="0"/>
        <v>0.17</v>
      </c>
      <c r="P24" s="7">
        <f t="shared" si="14"/>
        <v>0.17</v>
      </c>
      <c r="Q24" s="2">
        <f>ステ計算型!$I$29</f>
        <v>1</v>
      </c>
      <c r="R24" s="2">
        <f>ステ計算型!$E$33</f>
        <v>0.2</v>
      </c>
      <c r="S24" s="7">
        <f t="shared" si="15"/>
        <v>2.6999999999999997</v>
      </c>
      <c r="T24" s="2">
        <f>ステ計算型!$I$27</f>
        <v>1.1000000000000001</v>
      </c>
      <c r="U24" s="2">
        <f>ステ計算型!$J$29</f>
        <v>2</v>
      </c>
      <c r="V24" s="2">
        <f>ステ計算型!$F$32</f>
        <v>0.75</v>
      </c>
      <c r="W24" s="2">
        <f>ステ計算型!$G$34</f>
        <v>1</v>
      </c>
      <c r="X24" s="7">
        <f t="shared" si="11"/>
        <v>67010.662949999998</v>
      </c>
      <c r="Y24" s="7">
        <f t="shared" si="3"/>
        <v>400</v>
      </c>
      <c r="Z24" s="7">
        <f t="shared" si="4"/>
        <v>1</v>
      </c>
      <c r="AA24" s="38">
        <f>IF(L24&lt;ステ計算型!$A$20,0,1)</f>
        <v>1</v>
      </c>
      <c r="AB24" s="3">
        <f t="shared" si="5"/>
        <v>67010.662949999998</v>
      </c>
    </row>
    <row r="25" spans="1:28" ht="8.25" customHeight="1">
      <c r="A25" s="3">
        <f t="shared" si="1"/>
        <v>66956.949312000012</v>
      </c>
      <c r="B25" s="2">
        <f>ステ計算型!$B$2</f>
        <v>101</v>
      </c>
      <c r="C25" s="7">
        <f>VLOOKUP(B25,ポイント!$A$1:$D$43,4,FALSE)</f>
        <v>571</v>
      </c>
      <c r="D25" s="2">
        <f>ステ計算型!$B$4</f>
        <v>5</v>
      </c>
      <c r="E25" s="2">
        <f>ステ計算型!$B$6</f>
        <v>127</v>
      </c>
      <c r="F25" s="2">
        <f>ステ計算型!$B$8</f>
        <v>10</v>
      </c>
      <c r="G25" s="2">
        <f>ステ計算型!$B$9</f>
        <v>82</v>
      </c>
      <c r="H25" s="7">
        <f t="shared" si="12"/>
        <v>347</v>
      </c>
      <c r="I25" s="5">
        <f>ステ計算型!$K$3</f>
        <v>7390</v>
      </c>
      <c r="J25" s="5">
        <f>ステ計算型!$N$3</f>
        <v>66</v>
      </c>
      <c r="K25" s="5">
        <v>26</v>
      </c>
      <c r="L25" s="7">
        <f t="shared" si="13"/>
        <v>321</v>
      </c>
      <c r="M25" s="7">
        <f t="shared" si="2"/>
        <v>31432</v>
      </c>
      <c r="N25" s="2">
        <v>1</v>
      </c>
      <c r="O25" s="7">
        <f t="shared" si="0"/>
        <v>0.17</v>
      </c>
      <c r="P25" s="7">
        <f t="shared" si="14"/>
        <v>0.17</v>
      </c>
      <c r="Q25" s="2">
        <f>ステ計算型!$I$29</f>
        <v>1</v>
      </c>
      <c r="R25" s="2">
        <f>ステ計算型!$E$33</f>
        <v>0.2</v>
      </c>
      <c r="S25" s="7">
        <f t="shared" si="15"/>
        <v>2.7119999999999997</v>
      </c>
      <c r="T25" s="2">
        <f>ステ計算型!$I$27</f>
        <v>1.1000000000000001</v>
      </c>
      <c r="U25" s="2">
        <f>ステ計算型!$J$29</f>
        <v>2</v>
      </c>
      <c r="V25" s="2">
        <f>ステ計算型!$F$32</f>
        <v>0.75</v>
      </c>
      <c r="W25" s="2">
        <f>ステ計算型!$G$34</f>
        <v>1</v>
      </c>
      <c r="X25" s="7">
        <f t="shared" si="11"/>
        <v>66956.949312000012</v>
      </c>
      <c r="Y25" s="7">
        <f t="shared" si="3"/>
        <v>400</v>
      </c>
      <c r="Z25" s="7">
        <f t="shared" si="4"/>
        <v>1</v>
      </c>
      <c r="AA25" s="38">
        <f>IF(L25&lt;ステ計算型!$A$20,0,1)</f>
        <v>1</v>
      </c>
      <c r="AB25" s="3">
        <f t="shared" si="5"/>
        <v>66956.949312000012</v>
      </c>
    </row>
    <row r="26" spans="1:28" ht="8.25" customHeight="1">
      <c r="A26" s="3">
        <f t="shared" si="1"/>
        <v>66904.864356000006</v>
      </c>
      <c r="B26" s="2">
        <f>ステ計算型!$B$2</f>
        <v>101</v>
      </c>
      <c r="C26" s="7">
        <f>VLOOKUP(B26,ポイント!$A$1:$D$43,4,FALSE)</f>
        <v>571</v>
      </c>
      <c r="D26" s="2">
        <f>ステ計算型!$B$4</f>
        <v>5</v>
      </c>
      <c r="E26" s="2">
        <f>ステ計算型!$B$6</f>
        <v>127</v>
      </c>
      <c r="F26" s="2">
        <f>ステ計算型!$B$8</f>
        <v>10</v>
      </c>
      <c r="G26" s="2">
        <f>ステ計算型!$B$9</f>
        <v>82</v>
      </c>
      <c r="H26" s="7">
        <f t="shared" si="12"/>
        <v>347</v>
      </c>
      <c r="I26" s="5">
        <f>ステ計算型!$K$3</f>
        <v>7390</v>
      </c>
      <c r="J26" s="5">
        <f>ステ計算型!$N$3</f>
        <v>66</v>
      </c>
      <c r="K26" s="5">
        <v>27</v>
      </c>
      <c r="L26" s="7">
        <f t="shared" si="13"/>
        <v>320</v>
      </c>
      <c r="M26" s="7">
        <f t="shared" si="2"/>
        <v>31358</v>
      </c>
      <c r="N26" s="2">
        <v>1</v>
      </c>
      <c r="O26" s="7">
        <f t="shared" si="0"/>
        <v>0.17</v>
      </c>
      <c r="P26" s="7">
        <f t="shared" si="14"/>
        <v>0.17</v>
      </c>
      <c r="Q26" s="2">
        <f>ステ計算型!$I$29</f>
        <v>1</v>
      </c>
      <c r="R26" s="2">
        <f>ステ計算型!$E$33</f>
        <v>0.2</v>
      </c>
      <c r="S26" s="7">
        <f t="shared" si="15"/>
        <v>2.7239999999999998</v>
      </c>
      <c r="T26" s="2">
        <f>ステ計算型!$I$27</f>
        <v>1.1000000000000001</v>
      </c>
      <c r="U26" s="2">
        <f>ステ計算型!$J$29</f>
        <v>2</v>
      </c>
      <c r="V26" s="2">
        <f>ステ計算型!$F$32</f>
        <v>0.75</v>
      </c>
      <c r="W26" s="2">
        <f>ステ計算型!$G$34</f>
        <v>1</v>
      </c>
      <c r="X26" s="7">
        <f t="shared" si="11"/>
        <v>66904.864356000006</v>
      </c>
      <c r="Y26" s="7">
        <f t="shared" si="3"/>
        <v>400</v>
      </c>
      <c r="Z26" s="7">
        <f t="shared" si="4"/>
        <v>1</v>
      </c>
      <c r="AA26" s="38">
        <f>IF(L26&lt;ステ計算型!$A$20,0,1)</f>
        <v>1</v>
      </c>
      <c r="AB26" s="3">
        <f t="shared" si="5"/>
        <v>66904.864356000006</v>
      </c>
    </row>
    <row r="27" spans="1:28" ht="8.25" customHeight="1">
      <c r="A27" s="3">
        <f t="shared" si="1"/>
        <v>66850.144284000024</v>
      </c>
      <c r="B27" s="2">
        <f>ステ計算型!$B$2</f>
        <v>101</v>
      </c>
      <c r="C27" s="7">
        <f>VLOOKUP(B27,ポイント!$A$1:$D$43,4,FALSE)</f>
        <v>571</v>
      </c>
      <c r="D27" s="2">
        <f>ステ計算型!$B$4</f>
        <v>5</v>
      </c>
      <c r="E27" s="2">
        <f>ステ計算型!$B$6</f>
        <v>127</v>
      </c>
      <c r="F27" s="2">
        <f>ステ計算型!$B$8</f>
        <v>10</v>
      </c>
      <c r="G27" s="2">
        <f>ステ計算型!$B$9</f>
        <v>82</v>
      </c>
      <c r="H27" s="7">
        <f t="shared" si="12"/>
        <v>347</v>
      </c>
      <c r="I27" s="5">
        <f>ステ計算型!$K$3</f>
        <v>7390</v>
      </c>
      <c r="J27" s="5">
        <f>ステ計算型!$N$3</f>
        <v>66</v>
      </c>
      <c r="K27" s="5">
        <v>28</v>
      </c>
      <c r="L27" s="7">
        <f t="shared" si="13"/>
        <v>319</v>
      </c>
      <c r="M27" s="7">
        <f t="shared" si="2"/>
        <v>31283</v>
      </c>
      <c r="N27" s="2">
        <v>1</v>
      </c>
      <c r="O27" s="7">
        <f t="shared" si="0"/>
        <v>0.17</v>
      </c>
      <c r="P27" s="7">
        <f t="shared" si="14"/>
        <v>0.17</v>
      </c>
      <c r="Q27" s="2">
        <f>ステ計算型!$I$29</f>
        <v>1</v>
      </c>
      <c r="R27" s="2">
        <f>ステ計算型!$E$33</f>
        <v>0.2</v>
      </c>
      <c r="S27" s="7">
        <f t="shared" si="15"/>
        <v>2.7360000000000002</v>
      </c>
      <c r="T27" s="2">
        <f>ステ計算型!$I$27</f>
        <v>1.1000000000000001</v>
      </c>
      <c r="U27" s="2">
        <f>ステ計算型!$J$29</f>
        <v>2</v>
      </c>
      <c r="V27" s="2">
        <f>ステ計算型!$F$32</f>
        <v>0.75</v>
      </c>
      <c r="W27" s="2">
        <f>ステ計算型!$G$34</f>
        <v>1</v>
      </c>
      <c r="X27" s="7">
        <f t="shared" si="11"/>
        <v>66850.144284000024</v>
      </c>
      <c r="Y27" s="7">
        <f t="shared" si="3"/>
        <v>400</v>
      </c>
      <c r="Z27" s="7">
        <f t="shared" si="4"/>
        <v>1</v>
      </c>
      <c r="AA27" s="38">
        <f>IF(L27&lt;ステ計算型!$A$20,0,1)</f>
        <v>1</v>
      </c>
      <c r="AB27" s="3">
        <f t="shared" si="5"/>
        <v>66850.144284000024</v>
      </c>
    </row>
    <row r="28" spans="1:28" ht="8.25" customHeight="1">
      <c r="A28" s="3">
        <f t="shared" si="1"/>
        <v>67695.020447999996</v>
      </c>
      <c r="B28" s="2">
        <f>ステ計算型!$B$2</f>
        <v>101</v>
      </c>
      <c r="C28" s="7">
        <f>VLOOKUP(B28,ポイント!$A$1:$D$43,4,FALSE)</f>
        <v>571</v>
      </c>
      <c r="D28" s="2">
        <f>ステ計算型!$B$4</f>
        <v>5</v>
      </c>
      <c r="E28" s="2">
        <f>ステ計算型!$B$6</f>
        <v>127</v>
      </c>
      <c r="F28" s="2">
        <f>ステ計算型!$B$8</f>
        <v>10</v>
      </c>
      <c r="G28" s="2">
        <f>ステ計算型!$B$9</f>
        <v>82</v>
      </c>
      <c r="H28" s="7">
        <f t="shared" si="12"/>
        <v>347</v>
      </c>
      <c r="I28" s="5">
        <f>ステ計算型!$K$3</f>
        <v>7390</v>
      </c>
      <c r="J28" s="5">
        <f>ステ計算型!$N$3</f>
        <v>66</v>
      </c>
      <c r="K28" s="5">
        <v>29</v>
      </c>
      <c r="L28" s="7">
        <f t="shared" si="13"/>
        <v>318</v>
      </c>
      <c r="M28" s="7">
        <f t="shared" si="2"/>
        <v>31208</v>
      </c>
      <c r="N28" s="2">
        <v>1</v>
      </c>
      <c r="O28" s="7">
        <f t="shared" si="0"/>
        <v>0.18</v>
      </c>
      <c r="P28" s="7">
        <f t="shared" si="14"/>
        <v>0.18</v>
      </c>
      <c r="Q28" s="2">
        <f>ステ計算型!$I$29</f>
        <v>1</v>
      </c>
      <c r="R28" s="2">
        <f>ステ計算型!$E$33</f>
        <v>0.2</v>
      </c>
      <c r="S28" s="7">
        <f t="shared" si="15"/>
        <v>2.7479999999999998</v>
      </c>
      <c r="T28" s="2">
        <f>ステ計算型!$I$27</f>
        <v>1.1000000000000001</v>
      </c>
      <c r="U28" s="2">
        <f>ステ計算型!$J$29</f>
        <v>2</v>
      </c>
      <c r="V28" s="2">
        <f>ステ計算型!$F$32</f>
        <v>0.75</v>
      </c>
      <c r="W28" s="2">
        <f>ステ計算型!$G$34</f>
        <v>1</v>
      </c>
      <c r="X28" s="7">
        <f t="shared" si="11"/>
        <v>67695.020447999996</v>
      </c>
      <c r="Y28" s="7">
        <f t="shared" si="3"/>
        <v>400</v>
      </c>
      <c r="Z28" s="7">
        <f t="shared" si="4"/>
        <v>1</v>
      </c>
      <c r="AA28" s="38">
        <f>IF(L28&lt;ステ計算型!$A$20,0,1)</f>
        <v>1</v>
      </c>
      <c r="AB28" s="3">
        <f t="shared" si="5"/>
        <v>67695.020447999996</v>
      </c>
    </row>
    <row r="29" spans="1:28" ht="8.25" customHeight="1">
      <c r="A29" s="3">
        <f t="shared" si="1"/>
        <v>67643.291760000007</v>
      </c>
      <c r="B29" s="2">
        <f>ステ計算型!$B$2</f>
        <v>101</v>
      </c>
      <c r="C29" s="7">
        <f>VLOOKUP(B29,ポイント!$A$1:$D$43,4,FALSE)</f>
        <v>571</v>
      </c>
      <c r="D29" s="2">
        <f>ステ計算型!$B$4</f>
        <v>5</v>
      </c>
      <c r="E29" s="2">
        <f>ステ計算型!$B$6</f>
        <v>127</v>
      </c>
      <c r="F29" s="2">
        <f>ステ計算型!$B$8</f>
        <v>10</v>
      </c>
      <c r="G29" s="2">
        <f>ステ計算型!$B$9</f>
        <v>82</v>
      </c>
      <c r="H29" s="7">
        <f t="shared" si="12"/>
        <v>347</v>
      </c>
      <c r="I29" s="5">
        <f>ステ計算型!$K$3</f>
        <v>7390</v>
      </c>
      <c r="J29" s="5">
        <f>ステ計算型!$N$3</f>
        <v>66</v>
      </c>
      <c r="K29" s="5">
        <v>30</v>
      </c>
      <c r="L29" s="7">
        <f t="shared" si="13"/>
        <v>317</v>
      </c>
      <c r="M29" s="7">
        <f t="shared" si="2"/>
        <v>31133</v>
      </c>
      <c r="N29" s="2">
        <v>1</v>
      </c>
      <c r="O29" s="7">
        <f t="shared" si="0"/>
        <v>0.18</v>
      </c>
      <c r="P29" s="7">
        <f t="shared" si="14"/>
        <v>0.18</v>
      </c>
      <c r="Q29" s="2">
        <f>ステ計算型!$I$29</f>
        <v>1</v>
      </c>
      <c r="R29" s="2">
        <f>ステ計算型!$E$33</f>
        <v>0.2</v>
      </c>
      <c r="S29" s="7">
        <f t="shared" si="15"/>
        <v>2.76</v>
      </c>
      <c r="T29" s="2">
        <f>ステ計算型!$I$27</f>
        <v>1.1000000000000001</v>
      </c>
      <c r="U29" s="2">
        <f>ステ計算型!$J$29</f>
        <v>2</v>
      </c>
      <c r="V29" s="2">
        <f>ステ計算型!$F$32</f>
        <v>0.75</v>
      </c>
      <c r="W29" s="2">
        <f>ステ計算型!$G$34</f>
        <v>1</v>
      </c>
      <c r="X29" s="7">
        <f t="shared" si="11"/>
        <v>67643.291760000007</v>
      </c>
      <c r="Y29" s="7">
        <f t="shared" si="3"/>
        <v>400</v>
      </c>
      <c r="Z29" s="7">
        <f t="shared" si="4"/>
        <v>1</v>
      </c>
      <c r="AA29" s="38">
        <f>IF(L29&lt;ステ計算型!$A$20,0,1)</f>
        <v>1</v>
      </c>
      <c r="AB29" s="3">
        <f t="shared" si="5"/>
        <v>67643.291760000007</v>
      </c>
    </row>
    <row r="30" spans="1:28" ht="8.25" customHeight="1">
      <c r="A30" s="3">
        <f t="shared" si="1"/>
        <v>67591.028472000005</v>
      </c>
      <c r="B30" s="2">
        <f>ステ計算型!$B$2</f>
        <v>101</v>
      </c>
      <c r="C30" s="7">
        <f>VLOOKUP(B30,ポイント!$A$1:$D$43,4,FALSE)</f>
        <v>571</v>
      </c>
      <c r="D30" s="2">
        <f>ステ計算型!$B$4</f>
        <v>5</v>
      </c>
      <c r="E30" s="2">
        <f>ステ計算型!$B$6</f>
        <v>127</v>
      </c>
      <c r="F30" s="2">
        <f>ステ計算型!$B$8</f>
        <v>10</v>
      </c>
      <c r="G30" s="2">
        <f>ステ計算型!$B$9</f>
        <v>82</v>
      </c>
      <c r="H30" s="7">
        <f t="shared" si="12"/>
        <v>347</v>
      </c>
      <c r="I30" s="5">
        <f>ステ計算型!$K$3</f>
        <v>7390</v>
      </c>
      <c r="J30" s="5">
        <f>ステ計算型!$N$3</f>
        <v>66</v>
      </c>
      <c r="K30" s="5">
        <v>31</v>
      </c>
      <c r="L30" s="7">
        <f t="shared" si="13"/>
        <v>316</v>
      </c>
      <c r="M30" s="7">
        <f t="shared" si="2"/>
        <v>31058</v>
      </c>
      <c r="N30" s="2">
        <v>1</v>
      </c>
      <c r="O30" s="7">
        <f t="shared" si="0"/>
        <v>0.18</v>
      </c>
      <c r="P30" s="7">
        <f t="shared" si="14"/>
        <v>0.18</v>
      </c>
      <c r="Q30" s="2">
        <f>ステ計算型!$I$29</f>
        <v>1</v>
      </c>
      <c r="R30" s="2">
        <f>ステ計算型!$E$33</f>
        <v>0.2</v>
      </c>
      <c r="S30" s="7">
        <f t="shared" si="15"/>
        <v>2.7719999999999998</v>
      </c>
      <c r="T30" s="2">
        <f>ステ計算型!$I$27</f>
        <v>1.1000000000000001</v>
      </c>
      <c r="U30" s="2">
        <f>ステ計算型!$J$29</f>
        <v>2</v>
      </c>
      <c r="V30" s="2">
        <f>ステ計算型!$F$32</f>
        <v>0.75</v>
      </c>
      <c r="W30" s="2">
        <f>ステ計算型!$G$34</f>
        <v>1</v>
      </c>
      <c r="X30" s="7">
        <f t="shared" si="11"/>
        <v>67591.028472000005</v>
      </c>
      <c r="Y30" s="7">
        <f t="shared" si="3"/>
        <v>400</v>
      </c>
      <c r="Z30" s="7">
        <f t="shared" si="4"/>
        <v>1</v>
      </c>
      <c r="AA30" s="38">
        <f>IF(L30&lt;ステ計算型!$A$20,0,1)</f>
        <v>1</v>
      </c>
      <c r="AB30" s="3">
        <f t="shared" si="5"/>
        <v>67591.028472000005</v>
      </c>
    </row>
    <row r="31" spans="1:28" ht="8.25" customHeight="1">
      <c r="A31" s="3">
        <f t="shared" si="1"/>
        <v>67538.230584000004</v>
      </c>
      <c r="B31" s="2">
        <f>ステ計算型!$B$2</f>
        <v>101</v>
      </c>
      <c r="C31" s="7">
        <f>VLOOKUP(B31,ポイント!$A$1:$D$43,4,FALSE)</f>
        <v>571</v>
      </c>
      <c r="D31" s="2">
        <f>ステ計算型!$B$4</f>
        <v>5</v>
      </c>
      <c r="E31" s="2">
        <f>ステ計算型!$B$6</f>
        <v>127</v>
      </c>
      <c r="F31" s="2">
        <f>ステ計算型!$B$8</f>
        <v>10</v>
      </c>
      <c r="G31" s="2">
        <f>ステ計算型!$B$9</f>
        <v>82</v>
      </c>
      <c r="H31" s="7">
        <f t="shared" si="12"/>
        <v>347</v>
      </c>
      <c r="I31" s="5">
        <f>ステ計算型!$K$3</f>
        <v>7390</v>
      </c>
      <c r="J31" s="5">
        <f>ステ計算型!$N$3</f>
        <v>66</v>
      </c>
      <c r="K31" s="5">
        <v>32</v>
      </c>
      <c r="L31" s="7">
        <f t="shared" si="13"/>
        <v>315</v>
      </c>
      <c r="M31" s="7">
        <f t="shared" si="2"/>
        <v>30983</v>
      </c>
      <c r="N31" s="2">
        <v>1</v>
      </c>
      <c r="O31" s="7">
        <f t="shared" si="0"/>
        <v>0.18</v>
      </c>
      <c r="P31" s="7">
        <f t="shared" si="14"/>
        <v>0.18</v>
      </c>
      <c r="Q31" s="2">
        <f>ステ計算型!$I$29</f>
        <v>1</v>
      </c>
      <c r="R31" s="2">
        <f>ステ計算型!$E$33</f>
        <v>0.2</v>
      </c>
      <c r="S31" s="7">
        <f t="shared" si="15"/>
        <v>2.7839999999999998</v>
      </c>
      <c r="T31" s="2">
        <f>ステ計算型!$I$27</f>
        <v>1.1000000000000001</v>
      </c>
      <c r="U31" s="2">
        <f>ステ計算型!$J$29</f>
        <v>2</v>
      </c>
      <c r="V31" s="2">
        <f>ステ計算型!$F$32</f>
        <v>0.75</v>
      </c>
      <c r="W31" s="2">
        <f>ステ計算型!$G$34</f>
        <v>1</v>
      </c>
      <c r="X31" s="7">
        <f t="shared" si="11"/>
        <v>67538.230584000004</v>
      </c>
      <c r="Y31" s="7">
        <f t="shared" si="3"/>
        <v>400</v>
      </c>
      <c r="Z31" s="7">
        <f t="shared" si="4"/>
        <v>1</v>
      </c>
      <c r="AA31" s="38">
        <f>IF(L31&lt;ステ計算型!$A$20,0,1)</f>
        <v>1</v>
      </c>
      <c r="AB31" s="3">
        <f t="shared" si="5"/>
        <v>67538.230584000004</v>
      </c>
    </row>
    <row r="32" spans="1:28" ht="8.25" customHeight="1">
      <c r="A32" s="3">
        <f t="shared" si="1"/>
        <v>67484.898096000019</v>
      </c>
      <c r="B32" s="2">
        <f>ステ計算型!$B$2</f>
        <v>101</v>
      </c>
      <c r="C32" s="7">
        <f>VLOOKUP(B32,ポイント!$A$1:$D$43,4,FALSE)</f>
        <v>571</v>
      </c>
      <c r="D32" s="2">
        <f>ステ計算型!$B$4</f>
        <v>5</v>
      </c>
      <c r="E32" s="2">
        <f>ステ計算型!$B$6</f>
        <v>127</v>
      </c>
      <c r="F32" s="2">
        <f>ステ計算型!$B$8</f>
        <v>10</v>
      </c>
      <c r="G32" s="2">
        <f>ステ計算型!$B$9</f>
        <v>82</v>
      </c>
      <c r="H32" s="7">
        <f t="shared" si="12"/>
        <v>347</v>
      </c>
      <c r="I32" s="5">
        <f>ステ計算型!$K$3</f>
        <v>7390</v>
      </c>
      <c r="J32" s="5">
        <f>ステ計算型!$N$3</f>
        <v>66</v>
      </c>
      <c r="K32" s="5">
        <v>33</v>
      </c>
      <c r="L32" s="7">
        <f t="shared" si="13"/>
        <v>314</v>
      </c>
      <c r="M32" s="7">
        <f t="shared" si="2"/>
        <v>30908</v>
      </c>
      <c r="N32" s="2">
        <v>1</v>
      </c>
      <c r="O32" s="7">
        <f t="shared" si="0"/>
        <v>0.18</v>
      </c>
      <c r="P32" s="7">
        <f t="shared" si="14"/>
        <v>0.18</v>
      </c>
      <c r="Q32" s="2">
        <f>ステ計算型!$I$29</f>
        <v>1</v>
      </c>
      <c r="R32" s="2">
        <f>ステ計算型!$E$33</f>
        <v>0.2</v>
      </c>
      <c r="S32" s="7">
        <f t="shared" si="15"/>
        <v>2.7959999999999998</v>
      </c>
      <c r="T32" s="2">
        <f>ステ計算型!$I$27</f>
        <v>1.1000000000000001</v>
      </c>
      <c r="U32" s="2">
        <f>ステ計算型!$J$29</f>
        <v>2</v>
      </c>
      <c r="V32" s="2">
        <f>ステ計算型!$F$32</f>
        <v>0.75</v>
      </c>
      <c r="W32" s="2">
        <f>ステ計算型!$G$34</f>
        <v>1</v>
      </c>
      <c r="X32" s="7">
        <f t="shared" si="11"/>
        <v>67484.898096000019</v>
      </c>
      <c r="Y32" s="7">
        <f t="shared" si="3"/>
        <v>400</v>
      </c>
      <c r="Z32" s="7">
        <f t="shared" si="4"/>
        <v>1</v>
      </c>
      <c r="AA32" s="38">
        <f>IF(L32&lt;ステ計算型!$A$20,0,1)</f>
        <v>1</v>
      </c>
      <c r="AB32" s="3">
        <f t="shared" si="5"/>
        <v>67484.898096000019</v>
      </c>
    </row>
    <row r="33" spans="1:28" ht="8.25" customHeight="1">
      <c r="A33" s="3">
        <f t="shared" si="1"/>
        <v>67431.03100800002</v>
      </c>
      <c r="B33" s="2">
        <f>ステ計算型!$B$2</f>
        <v>101</v>
      </c>
      <c r="C33" s="7">
        <f>VLOOKUP(B33,ポイント!$A$1:$D$43,4,FALSE)</f>
        <v>571</v>
      </c>
      <c r="D33" s="2">
        <f>ステ計算型!$B$4</f>
        <v>5</v>
      </c>
      <c r="E33" s="2">
        <f>ステ計算型!$B$6</f>
        <v>127</v>
      </c>
      <c r="F33" s="2">
        <f>ステ計算型!$B$8</f>
        <v>10</v>
      </c>
      <c r="G33" s="2">
        <f>ステ計算型!$B$9</f>
        <v>82</v>
      </c>
      <c r="H33" s="7">
        <f t="shared" si="12"/>
        <v>347</v>
      </c>
      <c r="I33" s="5">
        <f>ステ計算型!$K$3</f>
        <v>7390</v>
      </c>
      <c r="J33" s="5">
        <f>ステ計算型!$N$3</f>
        <v>66</v>
      </c>
      <c r="K33" s="5">
        <v>34</v>
      </c>
      <c r="L33" s="7">
        <f t="shared" si="13"/>
        <v>313</v>
      </c>
      <c r="M33" s="7">
        <f t="shared" si="2"/>
        <v>30833</v>
      </c>
      <c r="N33" s="2">
        <v>1</v>
      </c>
      <c r="O33" s="7">
        <f t="shared" si="0"/>
        <v>0.18</v>
      </c>
      <c r="P33" s="7">
        <f t="shared" si="14"/>
        <v>0.18</v>
      </c>
      <c r="Q33" s="2">
        <f>ステ計算型!$I$29</f>
        <v>1</v>
      </c>
      <c r="R33" s="2">
        <f>ステ計算型!$E$33</f>
        <v>0.2</v>
      </c>
      <c r="S33" s="7">
        <f t="shared" si="15"/>
        <v>2.8079999999999998</v>
      </c>
      <c r="T33" s="2">
        <f>ステ計算型!$I$27</f>
        <v>1.1000000000000001</v>
      </c>
      <c r="U33" s="2">
        <f>ステ計算型!$J$29</f>
        <v>2</v>
      </c>
      <c r="V33" s="2">
        <f>ステ計算型!$F$32</f>
        <v>0.75</v>
      </c>
      <c r="W33" s="2">
        <f>ステ計算型!$G$34</f>
        <v>1</v>
      </c>
      <c r="X33" s="7">
        <f t="shared" si="11"/>
        <v>67431.03100800002</v>
      </c>
      <c r="Y33" s="7">
        <f t="shared" si="3"/>
        <v>400</v>
      </c>
      <c r="Z33" s="7">
        <f t="shared" si="4"/>
        <v>1</v>
      </c>
      <c r="AA33" s="38">
        <f>IF(L33&lt;ステ計算型!$A$20,0,1)</f>
        <v>1</v>
      </c>
      <c r="AB33" s="3">
        <f t="shared" si="5"/>
        <v>67431.03100800002</v>
      </c>
    </row>
    <row r="34" spans="1:28" ht="8.25" customHeight="1">
      <c r="A34" s="3">
        <f t="shared" si="1"/>
        <v>67376.629320000007</v>
      </c>
      <c r="B34" s="2">
        <f>ステ計算型!$B$2</f>
        <v>101</v>
      </c>
      <c r="C34" s="7">
        <f>VLOOKUP(B34,ポイント!$A$1:$D$43,4,FALSE)</f>
        <v>571</v>
      </c>
      <c r="D34" s="2">
        <f>ステ計算型!$B$4</f>
        <v>5</v>
      </c>
      <c r="E34" s="2">
        <f>ステ計算型!$B$6</f>
        <v>127</v>
      </c>
      <c r="F34" s="2">
        <f>ステ計算型!$B$8</f>
        <v>10</v>
      </c>
      <c r="G34" s="2">
        <f>ステ計算型!$B$9</f>
        <v>82</v>
      </c>
      <c r="H34" s="7">
        <f t="shared" si="12"/>
        <v>347</v>
      </c>
      <c r="I34" s="5">
        <f>ステ計算型!$K$3</f>
        <v>7390</v>
      </c>
      <c r="J34" s="5">
        <f>ステ計算型!$N$3</f>
        <v>66</v>
      </c>
      <c r="K34" s="5">
        <v>35</v>
      </c>
      <c r="L34" s="7">
        <f t="shared" si="13"/>
        <v>312</v>
      </c>
      <c r="M34" s="7">
        <f t="shared" si="2"/>
        <v>30758</v>
      </c>
      <c r="N34" s="2">
        <v>1</v>
      </c>
      <c r="O34" s="7">
        <f t="shared" si="0"/>
        <v>0.18</v>
      </c>
      <c r="P34" s="7">
        <f t="shared" si="14"/>
        <v>0.18</v>
      </c>
      <c r="Q34" s="2">
        <f>ステ計算型!$I$29</f>
        <v>1</v>
      </c>
      <c r="R34" s="2">
        <f>ステ計算型!$E$33</f>
        <v>0.2</v>
      </c>
      <c r="S34" s="7">
        <f t="shared" si="15"/>
        <v>2.82</v>
      </c>
      <c r="T34" s="2">
        <f>ステ計算型!$I$27</f>
        <v>1.1000000000000001</v>
      </c>
      <c r="U34" s="2">
        <f>ステ計算型!$J$29</f>
        <v>2</v>
      </c>
      <c r="V34" s="2">
        <f>ステ計算型!$F$32</f>
        <v>0.75</v>
      </c>
      <c r="W34" s="2">
        <f>ステ計算型!$G$34</f>
        <v>1</v>
      </c>
      <c r="X34" s="7">
        <f t="shared" si="11"/>
        <v>67376.629320000007</v>
      </c>
      <c r="Y34" s="7">
        <f t="shared" si="3"/>
        <v>400</v>
      </c>
      <c r="Z34" s="7">
        <f t="shared" si="4"/>
        <v>1</v>
      </c>
      <c r="AA34" s="38">
        <f>IF(L34&lt;ステ計算型!$A$20,0,1)</f>
        <v>1</v>
      </c>
      <c r="AB34" s="3">
        <f t="shared" si="5"/>
        <v>67376.629320000007</v>
      </c>
    </row>
    <row r="35" spans="1:28" ht="8.25" customHeight="1">
      <c r="A35" s="3">
        <f t="shared" si="1"/>
        <v>67321.69303200001</v>
      </c>
      <c r="B35" s="2">
        <f>ステ計算型!$B$2</f>
        <v>101</v>
      </c>
      <c r="C35" s="7">
        <f>VLOOKUP(B35,ポイント!$A$1:$D$43,4,FALSE)</f>
        <v>571</v>
      </c>
      <c r="D35" s="2">
        <f>ステ計算型!$B$4</f>
        <v>5</v>
      </c>
      <c r="E35" s="2">
        <f>ステ計算型!$B$6</f>
        <v>127</v>
      </c>
      <c r="F35" s="2">
        <f>ステ計算型!$B$8</f>
        <v>10</v>
      </c>
      <c r="G35" s="2">
        <f>ステ計算型!$B$9</f>
        <v>82</v>
      </c>
      <c r="H35" s="7">
        <f t="shared" si="12"/>
        <v>347</v>
      </c>
      <c r="I35" s="5">
        <f>ステ計算型!$K$3</f>
        <v>7390</v>
      </c>
      <c r="J35" s="5">
        <f>ステ計算型!$N$3</f>
        <v>66</v>
      </c>
      <c r="K35" s="5">
        <v>36</v>
      </c>
      <c r="L35" s="7">
        <f t="shared" si="13"/>
        <v>311</v>
      </c>
      <c r="M35" s="7">
        <f t="shared" si="2"/>
        <v>30683</v>
      </c>
      <c r="N35" s="2">
        <v>1</v>
      </c>
      <c r="O35" s="7">
        <f t="shared" si="0"/>
        <v>0.18</v>
      </c>
      <c r="P35" s="7">
        <f t="shared" si="14"/>
        <v>0.18</v>
      </c>
      <c r="Q35" s="2">
        <f>ステ計算型!$I$29</f>
        <v>1</v>
      </c>
      <c r="R35" s="2">
        <f>ステ計算型!$E$33</f>
        <v>0.2</v>
      </c>
      <c r="S35" s="7">
        <f t="shared" si="15"/>
        <v>2.8319999999999999</v>
      </c>
      <c r="T35" s="2">
        <f>ステ計算型!$I$27</f>
        <v>1.1000000000000001</v>
      </c>
      <c r="U35" s="2">
        <f>ステ計算型!$J$29</f>
        <v>2</v>
      </c>
      <c r="V35" s="2">
        <f>ステ計算型!$F$32</f>
        <v>0.75</v>
      </c>
      <c r="W35" s="2">
        <f>ステ計算型!$G$34</f>
        <v>1</v>
      </c>
      <c r="X35" s="7">
        <f t="shared" si="11"/>
        <v>67321.69303200001</v>
      </c>
      <c r="Y35" s="7">
        <f t="shared" si="3"/>
        <v>400</v>
      </c>
      <c r="Z35" s="7">
        <f t="shared" si="4"/>
        <v>1</v>
      </c>
      <c r="AA35" s="38">
        <f>IF(L35&lt;ステ計算型!$A$20,0,1)</f>
        <v>1</v>
      </c>
      <c r="AB35" s="3">
        <f t="shared" si="5"/>
        <v>67321.69303200001</v>
      </c>
    </row>
    <row r="36" spans="1:28" ht="8.25" customHeight="1">
      <c r="A36" s="3">
        <f t="shared" si="1"/>
        <v>68199.729246000017</v>
      </c>
      <c r="B36" s="2">
        <f>ステ計算型!$B$2</f>
        <v>101</v>
      </c>
      <c r="C36" s="7">
        <f>VLOOKUP(B36,ポイント!$A$1:$D$43,4,FALSE)</f>
        <v>571</v>
      </c>
      <c r="D36" s="2">
        <f>ステ計算型!$B$4</f>
        <v>5</v>
      </c>
      <c r="E36" s="2">
        <f>ステ計算型!$B$6</f>
        <v>127</v>
      </c>
      <c r="F36" s="2">
        <f>ステ計算型!$B$8</f>
        <v>10</v>
      </c>
      <c r="G36" s="2">
        <f>ステ計算型!$B$9</f>
        <v>82</v>
      </c>
      <c r="H36" s="7">
        <f t="shared" si="12"/>
        <v>347</v>
      </c>
      <c r="I36" s="5">
        <f>ステ計算型!$K$3</f>
        <v>7390</v>
      </c>
      <c r="J36" s="5">
        <f>ステ計算型!$N$3</f>
        <v>66</v>
      </c>
      <c r="K36" s="5">
        <v>37</v>
      </c>
      <c r="L36" s="7">
        <f t="shared" si="13"/>
        <v>310</v>
      </c>
      <c r="M36" s="7">
        <f t="shared" si="2"/>
        <v>30609</v>
      </c>
      <c r="N36" s="2">
        <v>1</v>
      </c>
      <c r="O36" s="7">
        <f t="shared" si="0"/>
        <v>0.19</v>
      </c>
      <c r="P36" s="7">
        <f t="shared" si="14"/>
        <v>0.19</v>
      </c>
      <c r="Q36" s="2">
        <f>ステ計算型!$I$29</f>
        <v>1</v>
      </c>
      <c r="R36" s="2">
        <f>ステ計算型!$E$33</f>
        <v>0.2</v>
      </c>
      <c r="S36" s="7">
        <f t="shared" si="15"/>
        <v>2.8439999999999999</v>
      </c>
      <c r="T36" s="2">
        <f>ステ計算型!$I$27</f>
        <v>1.1000000000000001</v>
      </c>
      <c r="U36" s="2">
        <f>ステ計算型!$J$29</f>
        <v>2</v>
      </c>
      <c r="V36" s="2">
        <f>ステ計算型!$F$32</f>
        <v>0.75</v>
      </c>
      <c r="W36" s="2">
        <f>ステ計算型!$G$34</f>
        <v>1</v>
      </c>
      <c r="X36" s="7">
        <f t="shared" si="11"/>
        <v>68199.729246000017</v>
      </c>
      <c r="Y36" s="7">
        <f t="shared" si="3"/>
        <v>400</v>
      </c>
      <c r="Z36" s="7">
        <f t="shared" si="4"/>
        <v>1</v>
      </c>
      <c r="AA36" s="38">
        <f>IF(L36&lt;ステ計算型!$A$20,0,1)</f>
        <v>1</v>
      </c>
      <c r="AB36" s="3">
        <f t="shared" si="5"/>
        <v>68199.729246000017</v>
      </c>
    </row>
    <row r="37" spans="1:28" ht="8.25" customHeight="1">
      <c r="A37" s="3">
        <f t="shared" si="1"/>
        <v>68147.491104000015</v>
      </c>
      <c r="B37" s="2">
        <f>ステ計算型!$B$2</f>
        <v>101</v>
      </c>
      <c r="C37" s="7">
        <f>VLOOKUP(B37,ポイント!$A$1:$D$43,4,FALSE)</f>
        <v>571</v>
      </c>
      <c r="D37" s="2">
        <f>ステ計算型!$B$4</f>
        <v>5</v>
      </c>
      <c r="E37" s="2">
        <f>ステ計算型!$B$6</f>
        <v>127</v>
      </c>
      <c r="F37" s="2">
        <f>ステ計算型!$B$8</f>
        <v>10</v>
      </c>
      <c r="G37" s="2">
        <f>ステ計算型!$B$9</f>
        <v>82</v>
      </c>
      <c r="H37" s="7">
        <f t="shared" si="12"/>
        <v>347</v>
      </c>
      <c r="I37" s="5">
        <f>ステ計算型!$K$3</f>
        <v>7390</v>
      </c>
      <c r="J37" s="5">
        <f>ステ計算型!$N$3</f>
        <v>66</v>
      </c>
      <c r="K37" s="5">
        <v>38</v>
      </c>
      <c r="L37" s="7">
        <f t="shared" si="13"/>
        <v>309</v>
      </c>
      <c r="M37" s="7">
        <f t="shared" si="2"/>
        <v>30534</v>
      </c>
      <c r="N37" s="2">
        <v>1</v>
      </c>
      <c r="O37" s="7">
        <f t="shared" si="0"/>
        <v>0.19</v>
      </c>
      <c r="P37" s="7">
        <f t="shared" si="14"/>
        <v>0.19</v>
      </c>
      <c r="Q37" s="2">
        <f>ステ計算型!$I$29</f>
        <v>1</v>
      </c>
      <c r="R37" s="2">
        <f>ステ計算型!$E$33</f>
        <v>0.2</v>
      </c>
      <c r="S37" s="7">
        <f t="shared" si="15"/>
        <v>2.8559999999999999</v>
      </c>
      <c r="T37" s="2">
        <f>ステ計算型!$I$27</f>
        <v>1.1000000000000001</v>
      </c>
      <c r="U37" s="2">
        <f>ステ計算型!$J$29</f>
        <v>2</v>
      </c>
      <c r="V37" s="2">
        <f>ステ計算型!$F$32</f>
        <v>0.75</v>
      </c>
      <c r="W37" s="2">
        <f>ステ計算型!$G$34</f>
        <v>1</v>
      </c>
      <c r="X37" s="7">
        <f t="shared" si="11"/>
        <v>68147.491104000015</v>
      </c>
      <c r="Y37" s="7">
        <f t="shared" si="3"/>
        <v>400</v>
      </c>
      <c r="Z37" s="7">
        <f t="shared" si="4"/>
        <v>1</v>
      </c>
      <c r="AA37" s="38">
        <f>IF(L37&lt;ステ計算型!$A$20,0,1)</f>
        <v>1</v>
      </c>
      <c r="AB37" s="3">
        <f t="shared" si="5"/>
        <v>68147.491104000015</v>
      </c>
    </row>
    <row r="38" spans="1:28" ht="8.25" customHeight="1">
      <c r="A38" s="3">
        <f t="shared" si="1"/>
        <v>68094.688662</v>
      </c>
      <c r="B38" s="2">
        <f>ステ計算型!$B$2</f>
        <v>101</v>
      </c>
      <c r="C38" s="7">
        <f>VLOOKUP(B38,ポイント!$A$1:$D$43,4,FALSE)</f>
        <v>571</v>
      </c>
      <c r="D38" s="2">
        <f>ステ計算型!$B$4</f>
        <v>5</v>
      </c>
      <c r="E38" s="2">
        <f>ステ計算型!$B$6</f>
        <v>127</v>
      </c>
      <c r="F38" s="2">
        <f>ステ計算型!$B$8</f>
        <v>10</v>
      </c>
      <c r="G38" s="2">
        <f>ステ計算型!$B$9</f>
        <v>82</v>
      </c>
      <c r="H38" s="7">
        <f t="shared" si="12"/>
        <v>347</v>
      </c>
      <c r="I38" s="5">
        <f>ステ計算型!$K$3</f>
        <v>7390</v>
      </c>
      <c r="J38" s="5">
        <f>ステ計算型!$N$3</f>
        <v>66</v>
      </c>
      <c r="K38" s="5">
        <v>39</v>
      </c>
      <c r="L38" s="7">
        <f t="shared" si="13"/>
        <v>308</v>
      </c>
      <c r="M38" s="7">
        <f t="shared" si="2"/>
        <v>30459</v>
      </c>
      <c r="N38" s="2">
        <v>1</v>
      </c>
      <c r="O38" s="7">
        <f t="shared" si="0"/>
        <v>0.19</v>
      </c>
      <c r="P38" s="7">
        <f t="shared" si="14"/>
        <v>0.19</v>
      </c>
      <c r="Q38" s="2">
        <f>ステ計算型!$I$29</f>
        <v>1</v>
      </c>
      <c r="R38" s="2">
        <f>ステ計算型!$E$33</f>
        <v>0.2</v>
      </c>
      <c r="S38" s="7">
        <f t="shared" si="15"/>
        <v>2.8679999999999999</v>
      </c>
      <c r="T38" s="2">
        <f>ステ計算型!$I$27</f>
        <v>1.1000000000000001</v>
      </c>
      <c r="U38" s="2">
        <f>ステ計算型!$J$29</f>
        <v>2</v>
      </c>
      <c r="V38" s="2">
        <f>ステ計算型!$F$32</f>
        <v>0.75</v>
      </c>
      <c r="W38" s="2">
        <f>ステ計算型!$G$34</f>
        <v>1</v>
      </c>
      <c r="X38" s="7">
        <f t="shared" si="11"/>
        <v>68094.688662</v>
      </c>
      <c r="Y38" s="7">
        <f t="shared" si="3"/>
        <v>400</v>
      </c>
      <c r="Z38" s="7">
        <f t="shared" si="4"/>
        <v>1</v>
      </c>
      <c r="AA38" s="38">
        <f>IF(L38&lt;ステ計算型!$A$20,0,1)</f>
        <v>1</v>
      </c>
      <c r="AB38" s="3">
        <f t="shared" si="5"/>
        <v>68094.688662</v>
      </c>
    </row>
    <row r="39" spans="1:28" ht="8.25" customHeight="1">
      <c r="A39" s="3">
        <f t="shared" si="1"/>
        <v>68041.321920000017</v>
      </c>
      <c r="B39" s="2">
        <f>ステ計算型!$B$2</f>
        <v>101</v>
      </c>
      <c r="C39" s="7">
        <f>VLOOKUP(B39,ポイント!$A$1:$D$43,4,FALSE)</f>
        <v>571</v>
      </c>
      <c r="D39" s="2">
        <f>ステ計算型!$B$4</f>
        <v>5</v>
      </c>
      <c r="E39" s="2">
        <f>ステ計算型!$B$6</f>
        <v>127</v>
      </c>
      <c r="F39" s="2">
        <f>ステ計算型!$B$8</f>
        <v>10</v>
      </c>
      <c r="G39" s="2">
        <f>ステ計算型!$B$9</f>
        <v>82</v>
      </c>
      <c r="H39" s="7">
        <f t="shared" si="12"/>
        <v>347</v>
      </c>
      <c r="I39" s="5">
        <f>ステ計算型!$K$3</f>
        <v>7390</v>
      </c>
      <c r="J39" s="5">
        <f>ステ計算型!$N$3</f>
        <v>66</v>
      </c>
      <c r="K39" s="5">
        <v>40</v>
      </c>
      <c r="L39" s="7">
        <f t="shared" si="13"/>
        <v>307</v>
      </c>
      <c r="M39" s="7">
        <f t="shared" si="2"/>
        <v>30384</v>
      </c>
      <c r="N39" s="2">
        <v>1</v>
      </c>
      <c r="O39" s="7">
        <f t="shared" si="0"/>
        <v>0.19</v>
      </c>
      <c r="P39" s="7">
        <f t="shared" si="14"/>
        <v>0.19</v>
      </c>
      <c r="Q39" s="2">
        <f>ステ計算型!$I$29</f>
        <v>1</v>
      </c>
      <c r="R39" s="2">
        <f>ステ計算型!$E$33</f>
        <v>0.2</v>
      </c>
      <c r="S39" s="7">
        <f t="shared" si="15"/>
        <v>2.88</v>
      </c>
      <c r="T39" s="2">
        <f>ステ計算型!$I$27</f>
        <v>1.1000000000000001</v>
      </c>
      <c r="U39" s="2">
        <f>ステ計算型!$J$29</f>
        <v>2</v>
      </c>
      <c r="V39" s="2">
        <f>ステ計算型!$F$32</f>
        <v>0.75</v>
      </c>
      <c r="W39" s="2">
        <f>ステ計算型!$G$34</f>
        <v>1</v>
      </c>
      <c r="X39" s="7">
        <f t="shared" si="11"/>
        <v>68041.321920000017</v>
      </c>
      <c r="Y39" s="7">
        <f t="shared" si="3"/>
        <v>400</v>
      </c>
      <c r="Z39" s="7">
        <f t="shared" si="4"/>
        <v>1</v>
      </c>
      <c r="AA39" s="38">
        <f>IF(L39&lt;ステ計算型!$A$20,0,1)</f>
        <v>1</v>
      </c>
      <c r="AB39" s="3">
        <f t="shared" si="5"/>
        <v>68041.321920000017</v>
      </c>
    </row>
    <row r="40" spans="1:28" ht="8.25" customHeight="1">
      <c r="A40" s="3">
        <f t="shared" si="1"/>
        <v>67987.390878000006</v>
      </c>
      <c r="B40" s="2">
        <f>ステ計算型!$B$2</f>
        <v>101</v>
      </c>
      <c r="C40" s="7">
        <f>VLOOKUP(B40,ポイント!$A$1:$D$43,4,FALSE)</f>
        <v>571</v>
      </c>
      <c r="D40" s="2">
        <f>ステ計算型!$B$4</f>
        <v>5</v>
      </c>
      <c r="E40" s="2">
        <f>ステ計算型!$B$6</f>
        <v>127</v>
      </c>
      <c r="F40" s="2">
        <f>ステ計算型!$B$8</f>
        <v>10</v>
      </c>
      <c r="G40" s="2">
        <f>ステ計算型!$B$9</f>
        <v>82</v>
      </c>
      <c r="H40" s="7">
        <f t="shared" si="12"/>
        <v>347</v>
      </c>
      <c r="I40" s="5">
        <f>ステ計算型!$K$3</f>
        <v>7390</v>
      </c>
      <c r="J40" s="5">
        <f>ステ計算型!$N$3</f>
        <v>66</v>
      </c>
      <c r="K40" s="5">
        <v>41</v>
      </c>
      <c r="L40" s="7">
        <f t="shared" si="13"/>
        <v>306</v>
      </c>
      <c r="M40" s="7">
        <f t="shared" si="2"/>
        <v>30309</v>
      </c>
      <c r="N40" s="2">
        <v>1</v>
      </c>
      <c r="O40" s="7">
        <f t="shared" si="0"/>
        <v>0.19</v>
      </c>
      <c r="P40" s="7">
        <f t="shared" si="14"/>
        <v>0.19</v>
      </c>
      <c r="Q40" s="2">
        <f>ステ計算型!$I$29</f>
        <v>1</v>
      </c>
      <c r="R40" s="2">
        <f>ステ計算型!$E$33</f>
        <v>0.2</v>
      </c>
      <c r="S40" s="7">
        <f t="shared" si="15"/>
        <v>2.8919999999999999</v>
      </c>
      <c r="T40" s="2">
        <f>ステ計算型!$I$27</f>
        <v>1.1000000000000001</v>
      </c>
      <c r="U40" s="2">
        <f>ステ計算型!$J$29</f>
        <v>2</v>
      </c>
      <c r="V40" s="2">
        <f>ステ計算型!$F$32</f>
        <v>0.75</v>
      </c>
      <c r="W40" s="2">
        <f>ステ計算型!$G$34</f>
        <v>1</v>
      </c>
      <c r="X40" s="7">
        <f t="shared" si="11"/>
        <v>67987.390878000006</v>
      </c>
      <c r="Y40" s="7">
        <f t="shared" si="3"/>
        <v>400</v>
      </c>
      <c r="Z40" s="7">
        <f t="shared" si="4"/>
        <v>1</v>
      </c>
      <c r="AA40" s="38">
        <f>IF(L40&lt;ステ計算型!$A$20,0,1)</f>
        <v>1</v>
      </c>
      <c r="AB40" s="3">
        <f t="shared" si="5"/>
        <v>67987.390878000006</v>
      </c>
    </row>
    <row r="41" spans="1:28" ht="8.25" customHeight="1">
      <c r="A41" s="3">
        <f t="shared" si="1"/>
        <v>67932.895535999996</v>
      </c>
      <c r="B41" s="2">
        <f>ステ計算型!$B$2</f>
        <v>101</v>
      </c>
      <c r="C41" s="7">
        <f>VLOOKUP(B41,ポイント!$A$1:$D$43,4,FALSE)</f>
        <v>571</v>
      </c>
      <c r="D41" s="2">
        <f>ステ計算型!$B$4</f>
        <v>5</v>
      </c>
      <c r="E41" s="2">
        <f>ステ計算型!$B$6</f>
        <v>127</v>
      </c>
      <c r="F41" s="2">
        <f>ステ計算型!$B$8</f>
        <v>10</v>
      </c>
      <c r="G41" s="2">
        <f>ステ計算型!$B$9</f>
        <v>82</v>
      </c>
      <c r="H41" s="7">
        <f t="shared" si="12"/>
        <v>347</v>
      </c>
      <c r="I41" s="5">
        <f>ステ計算型!$K$3</f>
        <v>7390</v>
      </c>
      <c r="J41" s="5">
        <f>ステ計算型!$N$3</f>
        <v>66</v>
      </c>
      <c r="K41" s="5">
        <v>42</v>
      </c>
      <c r="L41" s="7">
        <f t="shared" si="13"/>
        <v>305</v>
      </c>
      <c r="M41" s="7">
        <f t="shared" si="2"/>
        <v>30234</v>
      </c>
      <c r="N41" s="2">
        <v>1</v>
      </c>
      <c r="O41" s="7">
        <f t="shared" si="0"/>
        <v>0.19</v>
      </c>
      <c r="P41" s="7">
        <f t="shared" si="14"/>
        <v>0.19</v>
      </c>
      <c r="Q41" s="2">
        <f>ステ計算型!$I$29</f>
        <v>1</v>
      </c>
      <c r="R41" s="2">
        <f>ステ計算型!$E$33</f>
        <v>0.2</v>
      </c>
      <c r="S41" s="7">
        <f t="shared" si="15"/>
        <v>2.9039999999999999</v>
      </c>
      <c r="T41" s="2">
        <f>ステ計算型!$I$27</f>
        <v>1.1000000000000001</v>
      </c>
      <c r="U41" s="2">
        <f>ステ計算型!$J$29</f>
        <v>2</v>
      </c>
      <c r="V41" s="2">
        <f>ステ計算型!$F$32</f>
        <v>0.75</v>
      </c>
      <c r="W41" s="2">
        <f>ステ計算型!$G$34</f>
        <v>1</v>
      </c>
      <c r="X41" s="7">
        <f t="shared" si="11"/>
        <v>67932.895535999996</v>
      </c>
      <c r="Y41" s="7">
        <f t="shared" si="3"/>
        <v>400</v>
      </c>
      <c r="Z41" s="7">
        <f t="shared" si="4"/>
        <v>1</v>
      </c>
      <c r="AA41" s="38">
        <f>IF(L41&lt;ステ計算型!$A$20,0,1)</f>
        <v>1</v>
      </c>
      <c r="AB41" s="3">
        <f t="shared" si="5"/>
        <v>67932.895535999996</v>
      </c>
    </row>
    <row r="42" spans="1:28" ht="8.25" customHeight="1">
      <c r="A42" s="3">
        <f t="shared" si="1"/>
        <v>67877.835894000018</v>
      </c>
      <c r="B42" s="2">
        <f>ステ計算型!$B$2</f>
        <v>101</v>
      </c>
      <c r="C42" s="7">
        <f>VLOOKUP(B42,ポイント!$A$1:$D$43,4,FALSE)</f>
        <v>571</v>
      </c>
      <c r="D42" s="2">
        <f>ステ計算型!$B$4</f>
        <v>5</v>
      </c>
      <c r="E42" s="2">
        <f>ステ計算型!$B$6</f>
        <v>127</v>
      </c>
      <c r="F42" s="2">
        <f>ステ計算型!$B$8</f>
        <v>10</v>
      </c>
      <c r="G42" s="2">
        <f>ステ計算型!$B$9</f>
        <v>82</v>
      </c>
      <c r="H42" s="7">
        <f t="shared" si="12"/>
        <v>347</v>
      </c>
      <c r="I42" s="5">
        <f>ステ計算型!$K$3</f>
        <v>7390</v>
      </c>
      <c r="J42" s="5">
        <f>ステ計算型!$N$3</f>
        <v>66</v>
      </c>
      <c r="K42" s="5">
        <v>43</v>
      </c>
      <c r="L42" s="7">
        <f t="shared" si="13"/>
        <v>304</v>
      </c>
      <c r="M42" s="7">
        <f t="shared" si="2"/>
        <v>30159</v>
      </c>
      <c r="N42" s="2">
        <v>1</v>
      </c>
      <c r="O42" s="7">
        <f t="shared" si="0"/>
        <v>0.19</v>
      </c>
      <c r="P42" s="7">
        <f t="shared" si="14"/>
        <v>0.19</v>
      </c>
      <c r="Q42" s="2">
        <f>ステ計算型!$I$29</f>
        <v>1</v>
      </c>
      <c r="R42" s="2">
        <f>ステ計算型!$E$33</f>
        <v>0.2</v>
      </c>
      <c r="S42" s="7">
        <f t="shared" si="15"/>
        <v>2.9159999999999999</v>
      </c>
      <c r="T42" s="2">
        <f>ステ計算型!$I$27</f>
        <v>1.1000000000000001</v>
      </c>
      <c r="U42" s="2">
        <f>ステ計算型!$J$29</f>
        <v>2</v>
      </c>
      <c r="V42" s="2">
        <f>ステ計算型!$F$32</f>
        <v>0.75</v>
      </c>
      <c r="W42" s="2">
        <f>ステ計算型!$G$34</f>
        <v>1</v>
      </c>
      <c r="X42" s="7">
        <f t="shared" si="11"/>
        <v>67877.835894000018</v>
      </c>
      <c r="Y42" s="7">
        <f t="shared" si="3"/>
        <v>400</v>
      </c>
      <c r="Z42" s="7">
        <f t="shared" si="4"/>
        <v>1</v>
      </c>
      <c r="AA42" s="38">
        <f>IF(L42&lt;ステ計算型!$A$20,0,1)</f>
        <v>1</v>
      </c>
      <c r="AB42" s="3">
        <f t="shared" si="5"/>
        <v>67877.835894000018</v>
      </c>
    </row>
    <row r="43" spans="1:28" ht="8.25" customHeight="1">
      <c r="A43" s="3">
        <f t="shared" si="1"/>
        <v>68779.244160000002</v>
      </c>
      <c r="B43" s="2">
        <f>ステ計算型!$B$2</f>
        <v>101</v>
      </c>
      <c r="C43" s="7">
        <f>VLOOKUP(B43,ポイント!$A$1:$D$43,4,FALSE)</f>
        <v>571</v>
      </c>
      <c r="D43" s="2">
        <f>ステ計算型!$B$4</f>
        <v>5</v>
      </c>
      <c r="E43" s="2">
        <f>ステ計算型!$B$6</f>
        <v>127</v>
      </c>
      <c r="F43" s="2">
        <f>ステ計算型!$B$8</f>
        <v>10</v>
      </c>
      <c r="G43" s="2">
        <f>ステ計算型!$B$9</f>
        <v>82</v>
      </c>
      <c r="H43" s="7">
        <f t="shared" si="12"/>
        <v>347</v>
      </c>
      <c r="I43" s="5">
        <f>ステ計算型!$K$3</f>
        <v>7390</v>
      </c>
      <c r="J43" s="5">
        <f>ステ計算型!$N$3</f>
        <v>66</v>
      </c>
      <c r="K43" s="5">
        <v>44</v>
      </c>
      <c r="L43" s="7">
        <f t="shared" si="13"/>
        <v>303</v>
      </c>
      <c r="M43" s="7">
        <f t="shared" si="2"/>
        <v>30084</v>
      </c>
      <c r="N43" s="2">
        <v>1</v>
      </c>
      <c r="O43" s="7">
        <f t="shared" si="0"/>
        <v>0.2</v>
      </c>
      <c r="P43" s="7">
        <f t="shared" si="14"/>
        <v>0.2</v>
      </c>
      <c r="Q43" s="2">
        <f>ステ計算型!$I$29</f>
        <v>1</v>
      </c>
      <c r="R43" s="2">
        <f>ステ計算型!$E$33</f>
        <v>0.2</v>
      </c>
      <c r="S43" s="7">
        <f t="shared" si="15"/>
        <v>2.9279999999999999</v>
      </c>
      <c r="T43" s="2">
        <f>ステ計算型!$I$27</f>
        <v>1.1000000000000001</v>
      </c>
      <c r="U43" s="2">
        <f>ステ計算型!$J$29</f>
        <v>2</v>
      </c>
      <c r="V43" s="2">
        <f>ステ計算型!$F$32</f>
        <v>0.75</v>
      </c>
      <c r="W43" s="2">
        <f>ステ計算型!$G$34</f>
        <v>1</v>
      </c>
      <c r="X43" s="7">
        <f t="shared" si="11"/>
        <v>68779.244160000002</v>
      </c>
      <c r="Y43" s="7">
        <f t="shared" si="3"/>
        <v>400</v>
      </c>
      <c r="Z43" s="7">
        <f t="shared" si="4"/>
        <v>1</v>
      </c>
      <c r="AA43" s="38">
        <f>IF(L43&lt;ステ計算型!$A$20,0,1)</f>
        <v>1</v>
      </c>
      <c r="AB43" s="3">
        <f t="shared" si="5"/>
        <v>68779.244160000002</v>
      </c>
    </row>
    <row r="44" spans="1:28" ht="8.25" customHeight="1">
      <c r="A44" s="3">
        <f t="shared" si="1"/>
        <v>68726.611800000013</v>
      </c>
      <c r="B44" s="2">
        <f>ステ計算型!$B$2</f>
        <v>101</v>
      </c>
      <c r="C44" s="7">
        <f>VLOOKUP(B44,ポイント!$A$1:$D$43,4,FALSE)</f>
        <v>571</v>
      </c>
      <c r="D44" s="2">
        <f>ステ計算型!$B$4</f>
        <v>5</v>
      </c>
      <c r="E44" s="2">
        <f>ステ計算型!$B$6</f>
        <v>127</v>
      </c>
      <c r="F44" s="2">
        <f>ステ計算型!$B$8</f>
        <v>10</v>
      </c>
      <c r="G44" s="2">
        <f>ステ計算型!$B$9</f>
        <v>82</v>
      </c>
      <c r="H44" s="7">
        <f t="shared" si="12"/>
        <v>347</v>
      </c>
      <c r="I44" s="5">
        <f>ステ計算型!$K$3</f>
        <v>7390</v>
      </c>
      <c r="J44" s="5">
        <f>ステ計算型!$N$3</f>
        <v>66</v>
      </c>
      <c r="K44" s="5">
        <v>45</v>
      </c>
      <c r="L44" s="7">
        <f t="shared" si="13"/>
        <v>302</v>
      </c>
      <c r="M44" s="7">
        <f t="shared" si="2"/>
        <v>30009</v>
      </c>
      <c r="N44" s="2">
        <v>1</v>
      </c>
      <c r="O44" s="7">
        <f t="shared" si="0"/>
        <v>0.2</v>
      </c>
      <c r="P44" s="7">
        <f t="shared" si="14"/>
        <v>0.2</v>
      </c>
      <c r="Q44" s="2">
        <f>ステ計算型!$I$29</f>
        <v>1</v>
      </c>
      <c r="R44" s="2">
        <f>ステ計算型!$E$33</f>
        <v>0.2</v>
      </c>
      <c r="S44" s="7">
        <f t="shared" si="15"/>
        <v>2.94</v>
      </c>
      <c r="T44" s="2">
        <f>ステ計算型!$I$27</f>
        <v>1.1000000000000001</v>
      </c>
      <c r="U44" s="2">
        <f>ステ計算型!$J$29</f>
        <v>2</v>
      </c>
      <c r="V44" s="2">
        <f>ステ計算型!$F$32</f>
        <v>0.75</v>
      </c>
      <c r="W44" s="2">
        <f>ステ計算型!$G$34</f>
        <v>1</v>
      </c>
      <c r="X44" s="7">
        <f t="shared" si="11"/>
        <v>68726.611800000013</v>
      </c>
      <c r="Y44" s="7">
        <f t="shared" si="3"/>
        <v>400</v>
      </c>
      <c r="Z44" s="7">
        <f t="shared" si="4"/>
        <v>1</v>
      </c>
      <c r="AA44" s="38">
        <f>IF(L44&lt;ステ計算型!$A$20,0,1)</f>
        <v>1</v>
      </c>
      <c r="AB44" s="3">
        <f t="shared" si="5"/>
        <v>68726.611800000013</v>
      </c>
    </row>
    <row r="45" spans="1:28" ht="8.25" customHeight="1">
      <c r="A45" s="3">
        <f t="shared" si="1"/>
        <v>68673.385440000013</v>
      </c>
      <c r="B45" s="2">
        <f>ステ計算型!$B$2</f>
        <v>101</v>
      </c>
      <c r="C45" s="7">
        <f>VLOOKUP(B45,ポイント!$A$1:$D$43,4,FALSE)</f>
        <v>571</v>
      </c>
      <c r="D45" s="2">
        <f>ステ計算型!$B$4</f>
        <v>5</v>
      </c>
      <c r="E45" s="2">
        <f>ステ計算型!$B$6</f>
        <v>127</v>
      </c>
      <c r="F45" s="2">
        <f>ステ計算型!$B$8</f>
        <v>10</v>
      </c>
      <c r="G45" s="2">
        <f>ステ計算型!$B$9</f>
        <v>82</v>
      </c>
      <c r="H45" s="7">
        <f t="shared" si="12"/>
        <v>347</v>
      </c>
      <c r="I45" s="5">
        <f>ステ計算型!$K$3</f>
        <v>7390</v>
      </c>
      <c r="J45" s="5">
        <f>ステ計算型!$N$3</f>
        <v>66</v>
      </c>
      <c r="K45" s="5">
        <v>46</v>
      </c>
      <c r="L45" s="7">
        <f t="shared" si="13"/>
        <v>301</v>
      </c>
      <c r="M45" s="7">
        <f t="shared" si="2"/>
        <v>29934</v>
      </c>
      <c r="N45" s="2">
        <v>1</v>
      </c>
      <c r="O45" s="7">
        <f t="shared" si="0"/>
        <v>0.2</v>
      </c>
      <c r="P45" s="7">
        <f t="shared" si="14"/>
        <v>0.2</v>
      </c>
      <c r="Q45" s="2">
        <f>ステ計算型!$I$29</f>
        <v>1</v>
      </c>
      <c r="R45" s="2">
        <f>ステ計算型!$E$33</f>
        <v>0.2</v>
      </c>
      <c r="S45" s="7">
        <f t="shared" si="15"/>
        <v>2.952</v>
      </c>
      <c r="T45" s="2">
        <f>ステ計算型!$I$27</f>
        <v>1.1000000000000001</v>
      </c>
      <c r="U45" s="2">
        <f>ステ計算型!$J$29</f>
        <v>2</v>
      </c>
      <c r="V45" s="2">
        <f>ステ計算型!$F$32</f>
        <v>0.75</v>
      </c>
      <c r="W45" s="2">
        <f>ステ計算型!$G$34</f>
        <v>1</v>
      </c>
      <c r="X45" s="7">
        <f t="shared" si="11"/>
        <v>68673.385440000013</v>
      </c>
      <c r="Y45" s="7">
        <f t="shared" si="3"/>
        <v>400</v>
      </c>
      <c r="Z45" s="7">
        <f t="shared" si="4"/>
        <v>1</v>
      </c>
      <c r="AA45" s="38">
        <f>IF(L45&lt;ステ計算型!$A$20,0,1)</f>
        <v>1</v>
      </c>
      <c r="AB45" s="3">
        <f t="shared" si="5"/>
        <v>68673.385440000013</v>
      </c>
    </row>
    <row r="46" spans="1:28" ht="8.25" customHeight="1">
      <c r="A46" s="3">
        <f t="shared" si="1"/>
        <v>68621.863200000007</v>
      </c>
      <c r="B46" s="2">
        <f>ステ計算型!$B$2</f>
        <v>101</v>
      </c>
      <c r="C46" s="7">
        <f>VLOOKUP(B46,ポイント!$A$1:$D$43,4,FALSE)</f>
        <v>571</v>
      </c>
      <c r="D46" s="2">
        <f>ステ計算型!$B$4</f>
        <v>5</v>
      </c>
      <c r="E46" s="2">
        <f>ステ計算型!$B$6</f>
        <v>127</v>
      </c>
      <c r="F46" s="2">
        <f>ステ計算型!$B$8</f>
        <v>10</v>
      </c>
      <c r="G46" s="2">
        <f>ステ計算型!$B$9</f>
        <v>82</v>
      </c>
      <c r="H46" s="7">
        <f t="shared" si="12"/>
        <v>347</v>
      </c>
      <c r="I46" s="5">
        <f>ステ計算型!$K$3</f>
        <v>7390</v>
      </c>
      <c r="J46" s="5">
        <f>ステ計算型!$N$3</f>
        <v>66</v>
      </c>
      <c r="K46" s="5">
        <v>47</v>
      </c>
      <c r="L46" s="7">
        <f t="shared" si="13"/>
        <v>300</v>
      </c>
      <c r="M46" s="7">
        <f t="shared" si="2"/>
        <v>29860</v>
      </c>
      <c r="N46" s="2">
        <v>1</v>
      </c>
      <c r="O46" s="7">
        <f t="shared" si="0"/>
        <v>0.2</v>
      </c>
      <c r="P46" s="7">
        <f t="shared" si="14"/>
        <v>0.2</v>
      </c>
      <c r="Q46" s="2">
        <f>ステ計算型!$I$29</f>
        <v>1</v>
      </c>
      <c r="R46" s="2">
        <f>ステ計算型!$E$33</f>
        <v>0.2</v>
      </c>
      <c r="S46" s="7">
        <f t="shared" si="15"/>
        <v>2.9639999999999995</v>
      </c>
      <c r="T46" s="2">
        <f>ステ計算型!$I$27</f>
        <v>1.1000000000000001</v>
      </c>
      <c r="U46" s="2">
        <f>ステ計算型!$J$29</f>
        <v>2</v>
      </c>
      <c r="V46" s="2">
        <f>ステ計算型!$F$32</f>
        <v>0.75</v>
      </c>
      <c r="W46" s="2">
        <f>ステ計算型!$G$34</f>
        <v>1</v>
      </c>
      <c r="X46" s="7">
        <f t="shared" si="11"/>
        <v>68621.863200000007</v>
      </c>
      <c r="Y46" s="7">
        <f t="shared" si="3"/>
        <v>400</v>
      </c>
      <c r="Z46" s="7">
        <f t="shared" si="4"/>
        <v>1</v>
      </c>
      <c r="AA46" s="38">
        <f>IF(L46&lt;ステ計算型!$A$20,0,1)</f>
        <v>1</v>
      </c>
      <c r="AB46" s="3">
        <f t="shared" si="5"/>
        <v>68621.863200000007</v>
      </c>
    </row>
    <row r="47" spans="1:28" ht="8.25" customHeight="1">
      <c r="A47" s="3">
        <f t="shared" si="1"/>
        <v>68567.452800000014</v>
      </c>
      <c r="B47" s="2">
        <f>ステ計算型!$B$2</f>
        <v>101</v>
      </c>
      <c r="C47" s="7">
        <f>VLOOKUP(B47,ポイント!$A$1:$D$43,4,FALSE)</f>
        <v>571</v>
      </c>
      <c r="D47" s="2">
        <f>ステ計算型!$B$4</f>
        <v>5</v>
      </c>
      <c r="E47" s="2">
        <f>ステ計算型!$B$6</f>
        <v>127</v>
      </c>
      <c r="F47" s="2">
        <f>ステ計算型!$B$8</f>
        <v>10</v>
      </c>
      <c r="G47" s="2">
        <f>ステ計算型!$B$9</f>
        <v>82</v>
      </c>
      <c r="H47" s="7">
        <f t="shared" si="12"/>
        <v>347</v>
      </c>
      <c r="I47" s="5">
        <f>ステ計算型!$K$3</f>
        <v>7390</v>
      </c>
      <c r="J47" s="5">
        <f>ステ計算型!$N$3</f>
        <v>66</v>
      </c>
      <c r="K47" s="5">
        <v>48</v>
      </c>
      <c r="L47" s="7">
        <f t="shared" si="13"/>
        <v>299</v>
      </c>
      <c r="M47" s="7">
        <f t="shared" si="2"/>
        <v>29785</v>
      </c>
      <c r="N47" s="2">
        <v>1</v>
      </c>
      <c r="O47" s="7">
        <f t="shared" si="0"/>
        <v>0.2</v>
      </c>
      <c r="P47" s="7">
        <f t="shared" si="14"/>
        <v>0.2</v>
      </c>
      <c r="Q47" s="2">
        <f>ステ計算型!$I$29</f>
        <v>1</v>
      </c>
      <c r="R47" s="2">
        <f>ステ計算型!$E$33</f>
        <v>0.2</v>
      </c>
      <c r="S47" s="7">
        <f t="shared" si="15"/>
        <v>2.976</v>
      </c>
      <c r="T47" s="2">
        <f>ステ計算型!$I$27</f>
        <v>1.1000000000000001</v>
      </c>
      <c r="U47" s="2">
        <f>ステ計算型!$J$29</f>
        <v>2</v>
      </c>
      <c r="V47" s="2">
        <f>ステ計算型!$F$32</f>
        <v>0.75</v>
      </c>
      <c r="W47" s="2">
        <f>ステ計算型!$G$34</f>
        <v>1</v>
      </c>
      <c r="X47" s="7">
        <f t="shared" si="11"/>
        <v>68567.452800000014</v>
      </c>
      <c r="Y47" s="7">
        <f t="shared" si="3"/>
        <v>400</v>
      </c>
      <c r="Z47" s="7">
        <f t="shared" si="4"/>
        <v>1</v>
      </c>
      <c r="AA47" s="38">
        <f>IF(L47&lt;ステ計算型!$A$20,0,1)</f>
        <v>1</v>
      </c>
      <c r="AB47" s="3">
        <f t="shared" si="5"/>
        <v>68567.452800000014</v>
      </c>
    </row>
    <row r="48" spans="1:28" ht="8.25" customHeight="1">
      <c r="A48" s="3">
        <f t="shared" si="1"/>
        <v>68512.448400000008</v>
      </c>
      <c r="B48" s="2">
        <f>ステ計算型!$B$2</f>
        <v>101</v>
      </c>
      <c r="C48" s="7">
        <f>VLOOKUP(B48,ポイント!$A$1:$D$43,4,FALSE)</f>
        <v>571</v>
      </c>
      <c r="D48" s="2">
        <f>ステ計算型!$B$4</f>
        <v>5</v>
      </c>
      <c r="E48" s="2">
        <f>ステ計算型!$B$6</f>
        <v>127</v>
      </c>
      <c r="F48" s="2">
        <f>ステ計算型!$B$8</f>
        <v>10</v>
      </c>
      <c r="G48" s="2">
        <f>ステ計算型!$B$9</f>
        <v>82</v>
      </c>
      <c r="H48" s="7">
        <f t="shared" si="12"/>
        <v>347</v>
      </c>
      <c r="I48" s="5">
        <f>ステ計算型!$K$3</f>
        <v>7390</v>
      </c>
      <c r="J48" s="5">
        <f>ステ計算型!$N$3</f>
        <v>66</v>
      </c>
      <c r="K48" s="5">
        <v>49</v>
      </c>
      <c r="L48" s="7">
        <f t="shared" si="13"/>
        <v>298</v>
      </c>
      <c r="M48" s="7">
        <f t="shared" si="2"/>
        <v>29710</v>
      </c>
      <c r="N48" s="2">
        <v>1</v>
      </c>
      <c r="O48" s="7">
        <f t="shared" si="0"/>
        <v>0.2</v>
      </c>
      <c r="P48" s="7">
        <f t="shared" si="14"/>
        <v>0.2</v>
      </c>
      <c r="Q48" s="2">
        <f>ステ計算型!$I$29</f>
        <v>1</v>
      </c>
      <c r="R48" s="2">
        <f>ステ計算型!$E$33</f>
        <v>0.2</v>
      </c>
      <c r="S48" s="7">
        <f t="shared" si="15"/>
        <v>2.988</v>
      </c>
      <c r="T48" s="2">
        <f>ステ計算型!$I$27</f>
        <v>1.1000000000000001</v>
      </c>
      <c r="U48" s="2">
        <f>ステ計算型!$J$29</f>
        <v>2</v>
      </c>
      <c r="V48" s="2">
        <f>ステ計算型!$F$32</f>
        <v>0.75</v>
      </c>
      <c r="W48" s="2">
        <f>ステ計算型!$G$34</f>
        <v>1</v>
      </c>
      <c r="X48" s="7">
        <f t="shared" si="11"/>
        <v>68512.448400000008</v>
      </c>
      <c r="Y48" s="7">
        <f t="shared" si="3"/>
        <v>400</v>
      </c>
      <c r="Z48" s="7">
        <f t="shared" si="4"/>
        <v>1</v>
      </c>
      <c r="AA48" s="38">
        <f>IF(L48&lt;ステ計算型!$A$20,0,1)</f>
        <v>1</v>
      </c>
      <c r="AB48" s="3">
        <f t="shared" si="5"/>
        <v>68512.448400000008</v>
      </c>
    </row>
    <row r="49" spans="1:28" ht="8.25" customHeight="1">
      <c r="A49" s="3">
        <f t="shared" si="1"/>
        <v>68456.850000000006</v>
      </c>
      <c r="B49" s="2">
        <f>ステ計算型!$B$2</f>
        <v>101</v>
      </c>
      <c r="C49" s="7">
        <f>VLOOKUP(B49,ポイント!$A$1:$D$43,4,FALSE)</f>
        <v>571</v>
      </c>
      <c r="D49" s="2">
        <f>ステ計算型!$B$4</f>
        <v>5</v>
      </c>
      <c r="E49" s="2">
        <f>ステ計算型!$B$6</f>
        <v>127</v>
      </c>
      <c r="F49" s="2">
        <f>ステ計算型!$B$8</f>
        <v>10</v>
      </c>
      <c r="G49" s="2">
        <f>ステ計算型!$B$9</f>
        <v>82</v>
      </c>
      <c r="H49" s="7">
        <f t="shared" si="12"/>
        <v>347</v>
      </c>
      <c r="I49" s="5">
        <f>ステ計算型!$K$3</f>
        <v>7390</v>
      </c>
      <c r="J49" s="5">
        <f>ステ計算型!$N$3</f>
        <v>66</v>
      </c>
      <c r="K49" s="5">
        <v>50</v>
      </c>
      <c r="L49" s="7">
        <f t="shared" si="13"/>
        <v>297</v>
      </c>
      <c r="M49" s="7">
        <f t="shared" si="2"/>
        <v>29635</v>
      </c>
      <c r="N49" s="2">
        <v>1</v>
      </c>
      <c r="O49" s="7">
        <f t="shared" si="0"/>
        <v>0.2</v>
      </c>
      <c r="P49" s="7">
        <f t="shared" si="14"/>
        <v>0.2</v>
      </c>
      <c r="Q49" s="2">
        <f>ステ計算型!$I$29</f>
        <v>1</v>
      </c>
      <c r="R49" s="2">
        <f>ステ計算型!$E$33</f>
        <v>0.2</v>
      </c>
      <c r="S49" s="7">
        <f t="shared" si="15"/>
        <v>3</v>
      </c>
      <c r="T49" s="2">
        <f>ステ計算型!$I$27</f>
        <v>1.1000000000000001</v>
      </c>
      <c r="U49" s="2">
        <f>ステ計算型!$J$29</f>
        <v>2</v>
      </c>
      <c r="V49" s="2">
        <f>ステ計算型!$F$32</f>
        <v>0.75</v>
      </c>
      <c r="W49" s="2">
        <f>ステ計算型!$G$34</f>
        <v>1</v>
      </c>
      <c r="X49" s="7">
        <f t="shared" si="11"/>
        <v>68456.850000000006</v>
      </c>
      <c r="Y49" s="7">
        <f t="shared" si="3"/>
        <v>400</v>
      </c>
      <c r="Z49" s="7">
        <f t="shared" si="4"/>
        <v>1</v>
      </c>
      <c r="AA49" s="38">
        <f>IF(L49&lt;ステ計算型!$A$20,0,1)</f>
        <v>1</v>
      </c>
      <c r="AB49" s="3">
        <f t="shared" si="5"/>
        <v>68456.850000000006</v>
      </c>
    </row>
    <row r="50" spans="1:28" ht="8.25" customHeight="1">
      <c r="A50" s="3">
        <f t="shared" si="1"/>
        <v>68400.657600000006</v>
      </c>
      <c r="B50" s="2">
        <f>ステ計算型!$B$2</f>
        <v>101</v>
      </c>
      <c r="C50" s="7">
        <f>VLOOKUP(B50,ポイント!$A$1:$D$43,4,FALSE)</f>
        <v>571</v>
      </c>
      <c r="D50" s="2">
        <f>ステ計算型!$B$4</f>
        <v>5</v>
      </c>
      <c r="E50" s="2">
        <f>ステ計算型!$B$6</f>
        <v>127</v>
      </c>
      <c r="F50" s="2">
        <f>ステ計算型!$B$8</f>
        <v>10</v>
      </c>
      <c r="G50" s="2">
        <f>ステ計算型!$B$9</f>
        <v>82</v>
      </c>
      <c r="H50" s="7">
        <f t="shared" si="12"/>
        <v>347</v>
      </c>
      <c r="I50" s="5">
        <f>ステ計算型!$K$3</f>
        <v>7390</v>
      </c>
      <c r="J50" s="5">
        <f>ステ計算型!$N$3</f>
        <v>66</v>
      </c>
      <c r="K50" s="5">
        <v>51</v>
      </c>
      <c r="L50" s="7">
        <f t="shared" si="13"/>
        <v>296</v>
      </c>
      <c r="M50" s="7">
        <f t="shared" si="2"/>
        <v>29560</v>
      </c>
      <c r="N50" s="2">
        <v>1</v>
      </c>
      <c r="O50" s="7">
        <f t="shared" si="0"/>
        <v>0.2</v>
      </c>
      <c r="P50" s="7">
        <f t="shared" si="14"/>
        <v>0.2</v>
      </c>
      <c r="Q50" s="2">
        <f>ステ計算型!$I$29</f>
        <v>1</v>
      </c>
      <c r="R50" s="2">
        <f>ステ計算型!$E$33</f>
        <v>0.2</v>
      </c>
      <c r="S50" s="7">
        <f t="shared" si="15"/>
        <v>3.0119999999999996</v>
      </c>
      <c r="T50" s="2">
        <f>ステ計算型!$I$27</f>
        <v>1.1000000000000001</v>
      </c>
      <c r="U50" s="2">
        <f>ステ計算型!$J$29</f>
        <v>2</v>
      </c>
      <c r="V50" s="2">
        <f>ステ計算型!$F$32</f>
        <v>0.75</v>
      </c>
      <c r="W50" s="2">
        <f>ステ計算型!$G$34</f>
        <v>1</v>
      </c>
      <c r="X50" s="7">
        <f t="shared" si="11"/>
        <v>68400.657600000006</v>
      </c>
      <c r="Y50" s="7">
        <f t="shared" si="3"/>
        <v>400</v>
      </c>
      <c r="Z50" s="7">
        <f t="shared" si="4"/>
        <v>1</v>
      </c>
      <c r="AA50" s="38">
        <f>IF(L50&lt;ステ計算型!$A$20,0,1)</f>
        <v>1</v>
      </c>
      <c r="AB50" s="3">
        <f t="shared" si="5"/>
        <v>68400.657600000006</v>
      </c>
    </row>
    <row r="51" spans="1:28" ht="8.25" customHeight="1">
      <c r="A51" s="3">
        <f t="shared" si="1"/>
        <v>69328.552260000011</v>
      </c>
      <c r="B51" s="2">
        <f>ステ計算型!$B$2</f>
        <v>101</v>
      </c>
      <c r="C51" s="7">
        <f>VLOOKUP(B51,ポイント!$A$1:$D$43,4,FALSE)</f>
        <v>571</v>
      </c>
      <c r="D51" s="2">
        <f>ステ計算型!$B$4</f>
        <v>5</v>
      </c>
      <c r="E51" s="2">
        <f>ステ計算型!$B$6</f>
        <v>127</v>
      </c>
      <c r="F51" s="2">
        <f>ステ計算型!$B$8</f>
        <v>10</v>
      </c>
      <c r="G51" s="2">
        <f>ステ計算型!$B$9</f>
        <v>82</v>
      </c>
      <c r="H51" s="7">
        <f t="shared" si="12"/>
        <v>347</v>
      </c>
      <c r="I51" s="5">
        <f>ステ計算型!$K$3</f>
        <v>7390</v>
      </c>
      <c r="J51" s="5">
        <f>ステ計算型!$N$3</f>
        <v>66</v>
      </c>
      <c r="K51" s="5">
        <v>52</v>
      </c>
      <c r="L51" s="7">
        <f t="shared" si="13"/>
        <v>295</v>
      </c>
      <c r="M51" s="7">
        <f t="shared" si="2"/>
        <v>29485</v>
      </c>
      <c r="N51" s="2">
        <v>1</v>
      </c>
      <c r="O51" s="7">
        <f t="shared" si="0"/>
        <v>0.21</v>
      </c>
      <c r="P51" s="7">
        <f t="shared" si="14"/>
        <v>0.21</v>
      </c>
      <c r="Q51" s="2">
        <f>ステ計算型!$I$29</f>
        <v>1</v>
      </c>
      <c r="R51" s="2">
        <f>ステ計算型!$E$33</f>
        <v>0.2</v>
      </c>
      <c r="S51" s="7">
        <f t="shared" si="15"/>
        <v>3.024</v>
      </c>
      <c r="T51" s="2">
        <f>ステ計算型!$I$27</f>
        <v>1.1000000000000001</v>
      </c>
      <c r="U51" s="2">
        <f>ステ計算型!$J$29</f>
        <v>2</v>
      </c>
      <c r="V51" s="2">
        <f>ステ計算型!$F$32</f>
        <v>0.75</v>
      </c>
      <c r="W51" s="2">
        <f>ステ計算型!$G$34</f>
        <v>1</v>
      </c>
      <c r="X51" s="7">
        <f t="shared" si="11"/>
        <v>69328.552260000011</v>
      </c>
      <c r="Y51" s="7">
        <f t="shared" si="3"/>
        <v>400</v>
      </c>
      <c r="Z51" s="7">
        <f t="shared" si="4"/>
        <v>1</v>
      </c>
      <c r="AA51" s="38">
        <f>IF(L51&lt;ステ計算型!$A$20,0,1)</f>
        <v>1</v>
      </c>
      <c r="AB51" s="3">
        <f t="shared" si="5"/>
        <v>69328.552260000011</v>
      </c>
    </row>
    <row r="52" spans="1:28" ht="8.25" customHeight="1">
      <c r="A52" s="3">
        <f t="shared" si="1"/>
        <v>69274.490340000018</v>
      </c>
      <c r="B52" s="2">
        <f>ステ計算型!$B$2</f>
        <v>101</v>
      </c>
      <c r="C52" s="7">
        <f>VLOOKUP(B52,ポイント!$A$1:$D$43,4,FALSE)</f>
        <v>571</v>
      </c>
      <c r="D52" s="2">
        <f>ステ計算型!$B$4</f>
        <v>5</v>
      </c>
      <c r="E52" s="2">
        <f>ステ計算型!$B$6</f>
        <v>127</v>
      </c>
      <c r="F52" s="2">
        <f>ステ計算型!$B$8</f>
        <v>10</v>
      </c>
      <c r="G52" s="2">
        <f>ステ計算型!$B$9</f>
        <v>82</v>
      </c>
      <c r="H52" s="7">
        <f t="shared" si="12"/>
        <v>347</v>
      </c>
      <c r="I52" s="5">
        <f>ステ計算型!$K$3</f>
        <v>7390</v>
      </c>
      <c r="J52" s="5">
        <f>ステ計算型!$N$3</f>
        <v>66</v>
      </c>
      <c r="K52" s="5">
        <v>53</v>
      </c>
      <c r="L52" s="7">
        <f t="shared" si="13"/>
        <v>294</v>
      </c>
      <c r="M52" s="7">
        <f t="shared" si="2"/>
        <v>29410</v>
      </c>
      <c r="N52" s="2">
        <v>1</v>
      </c>
      <c r="O52" s="7">
        <f t="shared" si="0"/>
        <v>0.21</v>
      </c>
      <c r="P52" s="7">
        <f t="shared" si="14"/>
        <v>0.21</v>
      </c>
      <c r="Q52" s="2">
        <f>ステ計算型!$I$29</f>
        <v>1</v>
      </c>
      <c r="R52" s="2">
        <f>ステ計算型!$E$33</f>
        <v>0.2</v>
      </c>
      <c r="S52" s="7">
        <f t="shared" si="15"/>
        <v>3.036</v>
      </c>
      <c r="T52" s="2">
        <f>ステ計算型!$I$27</f>
        <v>1.1000000000000001</v>
      </c>
      <c r="U52" s="2">
        <f>ステ計算型!$J$29</f>
        <v>2</v>
      </c>
      <c r="V52" s="2">
        <f>ステ計算型!$F$32</f>
        <v>0.75</v>
      </c>
      <c r="W52" s="2">
        <f>ステ計算型!$G$34</f>
        <v>1</v>
      </c>
      <c r="X52" s="7">
        <f t="shared" si="11"/>
        <v>69274.490340000018</v>
      </c>
      <c r="Y52" s="7">
        <f t="shared" si="3"/>
        <v>400</v>
      </c>
      <c r="Z52" s="7">
        <f t="shared" si="4"/>
        <v>1</v>
      </c>
      <c r="AA52" s="38">
        <f>IF(L52&lt;ステ計算型!$A$20,0,1)</f>
        <v>1</v>
      </c>
      <c r="AB52" s="3">
        <f t="shared" si="5"/>
        <v>69274.490340000018</v>
      </c>
    </row>
    <row r="53" spans="1:28" ht="8.25" customHeight="1">
      <c r="A53" s="3">
        <f t="shared" si="1"/>
        <v>69219.804720000015</v>
      </c>
      <c r="B53" s="2">
        <f>ステ計算型!$B$2</f>
        <v>101</v>
      </c>
      <c r="C53" s="7">
        <f>VLOOKUP(B53,ポイント!$A$1:$D$43,4,FALSE)</f>
        <v>571</v>
      </c>
      <c r="D53" s="2">
        <f>ステ計算型!$B$4</f>
        <v>5</v>
      </c>
      <c r="E53" s="2">
        <f>ステ計算型!$B$6</f>
        <v>127</v>
      </c>
      <c r="F53" s="2">
        <f>ステ計算型!$B$8</f>
        <v>10</v>
      </c>
      <c r="G53" s="2">
        <f>ステ計算型!$B$9</f>
        <v>82</v>
      </c>
      <c r="H53" s="7">
        <f t="shared" si="12"/>
        <v>347</v>
      </c>
      <c r="I53" s="5">
        <f>ステ計算型!$K$3</f>
        <v>7390</v>
      </c>
      <c r="J53" s="5">
        <f>ステ計算型!$N$3</f>
        <v>66</v>
      </c>
      <c r="K53" s="5">
        <v>54</v>
      </c>
      <c r="L53" s="7">
        <f t="shared" si="13"/>
        <v>293</v>
      </c>
      <c r="M53" s="7">
        <f t="shared" si="2"/>
        <v>29335</v>
      </c>
      <c r="N53" s="2">
        <v>1</v>
      </c>
      <c r="O53" s="7">
        <f t="shared" si="0"/>
        <v>0.21</v>
      </c>
      <c r="P53" s="7">
        <f t="shared" si="14"/>
        <v>0.21</v>
      </c>
      <c r="Q53" s="2">
        <f>ステ計算型!$I$29</f>
        <v>1</v>
      </c>
      <c r="R53" s="2">
        <f>ステ計算型!$E$33</f>
        <v>0.2</v>
      </c>
      <c r="S53" s="7">
        <f t="shared" si="15"/>
        <v>3.048</v>
      </c>
      <c r="T53" s="2">
        <f>ステ計算型!$I$27</f>
        <v>1.1000000000000001</v>
      </c>
      <c r="U53" s="2">
        <f>ステ計算型!$J$29</f>
        <v>2</v>
      </c>
      <c r="V53" s="2">
        <f>ステ計算型!$F$32</f>
        <v>0.75</v>
      </c>
      <c r="W53" s="2">
        <f>ステ計算型!$G$34</f>
        <v>1</v>
      </c>
      <c r="X53" s="7">
        <f t="shared" si="11"/>
        <v>69219.804720000015</v>
      </c>
      <c r="Y53" s="7">
        <f t="shared" si="3"/>
        <v>400</v>
      </c>
      <c r="Z53" s="7">
        <f t="shared" si="4"/>
        <v>1</v>
      </c>
      <c r="AA53" s="38">
        <f>IF(L53&lt;ステ計算型!$A$20,0,1)</f>
        <v>1</v>
      </c>
      <c r="AB53" s="3">
        <f t="shared" si="5"/>
        <v>69219.804720000015</v>
      </c>
    </row>
    <row r="54" spans="1:28" ht="8.25" customHeight="1">
      <c r="A54" s="3">
        <f t="shared" si="1"/>
        <v>69164.4954</v>
      </c>
      <c r="B54" s="2">
        <f>ステ計算型!$B$2</f>
        <v>101</v>
      </c>
      <c r="C54" s="7">
        <f>VLOOKUP(B54,ポイント!$A$1:$D$43,4,FALSE)</f>
        <v>571</v>
      </c>
      <c r="D54" s="2">
        <f>ステ計算型!$B$4</f>
        <v>5</v>
      </c>
      <c r="E54" s="2">
        <f>ステ計算型!$B$6</f>
        <v>127</v>
      </c>
      <c r="F54" s="2">
        <f>ステ計算型!$B$8</f>
        <v>10</v>
      </c>
      <c r="G54" s="2">
        <f>ステ計算型!$B$9</f>
        <v>82</v>
      </c>
      <c r="H54" s="7">
        <f t="shared" si="12"/>
        <v>347</v>
      </c>
      <c r="I54" s="5">
        <f>ステ計算型!$K$3</f>
        <v>7390</v>
      </c>
      <c r="J54" s="5">
        <f>ステ計算型!$N$3</f>
        <v>66</v>
      </c>
      <c r="K54" s="5">
        <v>55</v>
      </c>
      <c r="L54" s="7">
        <f t="shared" si="13"/>
        <v>292</v>
      </c>
      <c r="M54" s="7">
        <f t="shared" si="2"/>
        <v>29260</v>
      </c>
      <c r="N54" s="2">
        <v>1</v>
      </c>
      <c r="O54" s="7">
        <f t="shared" si="0"/>
        <v>0.21</v>
      </c>
      <c r="P54" s="7">
        <f t="shared" si="14"/>
        <v>0.21</v>
      </c>
      <c r="Q54" s="2">
        <f>ステ計算型!$I$29</f>
        <v>1</v>
      </c>
      <c r="R54" s="2">
        <f>ステ計算型!$E$33</f>
        <v>0.2</v>
      </c>
      <c r="S54" s="7">
        <f t="shared" si="15"/>
        <v>3.0599999999999996</v>
      </c>
      <c r="T54" s="2">
        <f>ステ計算型!$I$27</f>
        <v>1.1000000000000001</v>
      </c>
      <c r="U54" s="2">
        <f>ステ計算型!$J$29</f>
        <v>2</v>
      </c>
      <c r="V54" s="2">
        <f>ステ計算型!$F$32</f>
        <v>0.75</v>
      </c>
      <c r="W54" s="2">
        <f>ステ計算型!$G$34</f>
        <v>1</v>
      </c>
      <c r="X54" s="7">
        <f t="shared" si="11"/>
        <v>69164.4954</v>
      </c>
      <c r="Y54" s="7">
        <f t="shared" si="3"/>
        <v>400</v>
      </c>
      <c r="Z54" s="7">
        <f t="shared" si="4"/>
        <v>1</v>
      </c>
      <c r="AA54" s="38">
        <f>IF(L54&lt;ステ計算型!$A$20,0,1)</f>
        <v>1</v>
      </c>
      <c r="AB54" s="3">
        <f t="shared" si="5"/>
        <v>69164.4954</v>
      </c>
    </row>
    <row r="55" spans="1:28" ht="8.25" customHeight="1">
      <c r="A55" s="3">
        <f t="shared" si="1"/>
        <v>69108.562380000003</v>
      </c>
      <c r="B55" s="2">
        <f>ステ計算型!$B$2</f>
        <v>101</v>
      </c>
      <c r="C55" s="7">
        <f>VLOOKUP(B55,ポイント!$A$1:$D$43,4,FALSE)</f>
        <v>571</v>
      </c>
      <c r="D55" s="2">
        <f>ステ計算型!$B$4</f>
        <v>5</v>
      </c>
      <c r="E55" s="2">
        <f>ステ計算型!$B$6</f>
        <v>127</v>
      </c>
      <c r="F55" s="2">
        <f>ステ計算型!$B$8</f>
        <v>10</v>
      </c>
      <c r="G55" s="2">
        <f>ステ計算型!$B$9</f>
        <v>82</v>
      </c>
      <c r="H55" s="7">
        <f t="shared" si="12"/>
        <v>347</v>
      </c>
      <c r="I55" s="5">
        <f>ステ計算型!$K$3</f>
        <v>7390</v>
      </c>
      <c r="J55" s="5">
        <f>ステ計算型!$N$3</f>
        <v>66</v>
      </c>
      <c r="K55" s="5">
        <v>56</v>
      </c>
      <c r="L55" s="7">
        <f t="shared" si="13"/>
        <v>291</v>
      </c>
      <c r="M55" s="7">
        <f t="shared" si="2"/>
        <v>29185</v>
      </c>
      <c r="N55" s="2">
        <v>1</v>
      </c>
      <c r="O55" s="7">
        <f t="shared" si="0"/>
        <v>0.21</v>
      </c>
      <c r="P55" s="7">
        <f t="shared" si="14"/>
        <v>0.21</v>
      </c>
      <c r="Q55" s="2">
        <f>ステ計算型!$I$29</f>
        <v>1</v>
      </c>
      <c r="R55" s="2">
        <f>ステ計算型!$E$33</f>
        <v>0.2</v>
      </c>
      <c r="S55" s="7">
        <f t="shared" si="15"/>
        <v>3.0720000000000001</v>
      </c>
      <c r="T55" s="2">
        <f>ステ計算型!$I$27</f>
        <v>1.1000000000000001</v>
      </c>
      <c r="U55" s="2">
        <f>ステ計算型!$J$29</f>
        <v>2</v>
      </c>
      <c r="V55" s="2">
        <f>ステ計算型!$F$32</f>
        <v>0.75</v>
      </c>
      <c r="W55" s="2">
        <f>ステ計算型!$G$34</f>
        <v>1</v>
      </c>
      <c r="X55" s="7">
        <f t="shared" si="11"/>
        <v>69108.562380000003</v>
      </c>
      <c r="Y55" s="7">
        <f t="shared" si="3"/>
        <v>400</v>
      </c>
      <c r="Z55" s="7">
        <f t="shared" si="4"/>
        <v>1</v>
      </c>
      <c r="AA55" s="38">
        <f>IF(L55&lt;ステ計算型!$A$20,0,1)</f>
        <v>1</v>
      </c>
      <c r="AB55" s="3">
        <f t="shared" si="5"/>
        <v>69108.562380000003</v>
      </c>
    </row>
    <row r="56" spans="1:28" ht="8.25" customHeight="1">
      <c r="A56" s="3">
        <f t="shared" si="1"/>
        <v>69054.377765999991</v>
      </c>
      <c r="B56" s="2">
        <f>ステ計算型!$B$2</f>
        <v>101</v>
      </c>
      <c r="C56" s="7">
        <f>VLOOKUP(B56,ポイント!$A$1:$D$43,4,FALSE)</f>
        <v>571</v>
      </c>
      <c r="D56" s="2">
        <f>ステ計算型!$B$4</f>
        <v>5</v>
      </c>
      <c r="E56" s="2">
        <f>ステ計算型!$B$6</f>
        <v>127</v>
      </c>
      <c r="F56" s="2">
        <f>ステ計算型!$B$8</f>
        <v>10</v>
      </c>
      <c r="G56" s="2">
        <f>ステ計算型!$B$9</f>
        <v>82</v>
      </c>
      <c r="H56" s="7">
        <f t="shared" si="12"/>
        <v>347</v>
      </c>
      <c r="I56" s="5">
        <f>ステ計算型!$K$3</f>
        <v>7390</v>
      </c>
      <c r="J56" s="5">
        <f>ステ計算型!$N$3</f>
        <v>66</v>
      </c>
      <c r="K56" s="5">
        <v>57</v>
      </c>
      <c r="L56" s="7">
        <f t="shared" si="13"/>
        <v>290</v>
      </c>
      <c r="M56" s="7">
        <f t="shared" si="2"/>
        <v>29111</v>
      </c>
      <c r="N56" s="2">
        <v>1</v>
      </c>
      <c r="O56" s="7">
        <f t="shared" si="0"/>
        <v>0.21</v>
      </c>
      <c r="P56" s="7">
        <f t="shared" si="14"/>
        <v>0.21</v>
      </c>
      <c r="Q56" s="2">
        <f>ステ計算型!$I$29</f>
        <v>1</v>
      </c>
      <c r="R56" s="2">
        <f>ステ計算型!$E$33</f>
        <v>0.2</v>
      </c>
      <c r="S56" s="7">
        <f t="shared" si="15"/>
        <v>3.0839999999999996</v>
      </c>
      <c r="T56" s="2">
        <f>ステ計算型!$I$27</f>
        <v>1.1000000000000001</v>
      </c>
      <c r="U56" s="2">
        <f>ステ計算型!$J$29</f>
        <v>2</v>
      </c>
      <c r="V56" s="2">
        <f>ステ計算型!$F$32</f>
        <v>0.75</v>
      </c>
      <c r="W56" s="2">
        <f>ステ計算型!$G$34</f>
        <v>1</v>
      </c>
      <c r="X56" s="7">
        <f t="shared" si="11"/>
        <v>69054.377765999991</v>
      </c>
      <c r="Y56" s="7">
        <f t="shared" si="3"/>
        <v>400</v>
      </c>
      <c r="Z56" s="7">
        <f t="shared" si="4"/>
        <v>1</v>
      </c>
      <c r="AA56" s="38">
        <f>IF(L56&lt;ステ計算型!$A$20,0,1)</f>
        <v>1</v>
      </c>
      <c r="AB56" s="3">
        <f t="shared" si="5"/>
        <v>69054.377765999991</v>
      </c>
    </row>
    <row r="57" spans="1:28" ht="8.25" customHeight="1">
      <c r="A57" s="3">
        <f t="shared" si="1"/>
        <v>68997.201504000011</v>
      </c>
      <c r="B57" s="2">
        <f>ステ計算型!$B$2</f>
        <v>101</v>
      </c>
      <c r="C57" s="7">
        <f>VLOOKUP(B57,ポイント!$A$1:$D$43,4,FALSE)</f>
        <v>571</v>
      </c>
      <c r="D57" s="2">
        <f>ステ計算型!$B$4</f>
        <v>5</v>
      </c>
      <c r="E57" s="2">
        <f>ステ計算型!$B$6</f>
        <v>127</v>
      </c>
      <c r="F57" s="2">
        <f>ステ計算型!$B$8</f>
        <v>10</v>
      </c>
      <c r="G57" s="2">
        <f>ステ計算型!$B$9</f>
        <v>82</v>
      </c>
      <c r="H57" s="7">
        <f t="shared" si="12"/>
        <v>347</v>
      </c>
      <c r="I57" s="5">
        <f>ステ計算型!$K$3</f>
        <v>7390</v>
      </c>
      <c r="J57" s="5">
        <f>ステ計算型!$N$3</f>
        <v>66</v>
      </c>
      <c r="K57" s="5">
        <v>58</v>
      </c>
      <c r="L57" s="7">
        <f t="shared" si="13"/>
        <v>289</v>
      </c>
      <c r="M57" s="7">
        <f t="shared" si="2"/>
        <v>29036</v>
      </c>
      <c r="N57" s="2">
        <v>1</v>
      </c>
      <c r="O57" s="7">
        <f t="shared" si="0"/>
        <v>0.21</v>
      </c>
      <c r="P57" s="7">
        <f t="shared" si="14"/>
        <v>0.21</v>
      </c>
      <c r="Q57" s="2">
        <f>ステ計算型!$I$29</f>
        <v>1</v>
      </c>
      <c r="R57" s="2">
        <f>ステ計算型!$E$33</f>
        <v>0.2</v>
      </c>
      <c r="S57" s="7">
        <f t="shared" si="15"/>
        <v>3.0960000000000001</v>
      </c>
      <c r="T57" s="2">
        <f>ステ計算型!$I$27</f>
        <v>1.1000000000000001</v>
      </c>
      <c r="U57" s="2">
        <f>ステ計算型!$J$29</f>
        <v>2</v>
      </c>
      <c r="V57" s="2">
        <f>ステ計算型!$F$32</f>
        <v>0.75</v>
      </c>
      <c r="W57" s="2">
        <f>ステ計算型!$G$34</f>
        <v>1</v>
      </c>
      <c r="X57" s="7">
        <f t="shared" si="11"/>
        <v>68997.201504000011</v>
      </c>
      <c r="Y57" s="7">
        <f t="shared" si="3"/>
        <v>400</v>
      </c>
      <c r="Z57" s="7">
        <f t="shared" si="4"/>
        <v>1</v>
      </c>
      <c r="AA57" s="38">
        <f>IF(L57&lt;ステ計算型!$A$20,0,1)</f>
        <v>1</v>
      </c>
      <c r="AB57" s="3">
        <f t="shared" si="5"/>
        <v>68997.201504000011</v>
      </c>
    </row>
    <row r="58" spans="1:28" ht="8.25" customHeight="1">
      <c r="A58" s="3">
        <f t="shared" si="1"/>
        <v>68939.401541999992</v>
      </c>
      <c r="B58" s="2">
        <f>ステ計算型!$B$2</f>
        <v>101</v>
      </c>
      <c r="C58" s="7">
        <f>VLOOKUP(B58,ポイント!$A$1:$D$43,4,FALSE)</f>
        <v>571</v>
      </c>
      <c r="D58" s="2">
        <f>ステ計算型!$B$4</f>
        <v>5</v>
      </c>
      <c r="E58" s="2">
        <f>ステ計算型!$B$6</f>
        <v>127</v>
      </c>
      <c r="F58" s="2">
        <f>ステ計算型!$B$8</f>
        <v>10</v>
      </c>
      <c r="G58" s="2">
        <f>ステ計算型!$B$9</f>
        <v>82</v>
      </c>
      <c r="H58" s="7">
        <f t="shared" si="12"/>
        <v>347</v>
      </c>
      <c r="I58" s="5">
        <f>ステ計算型!$K$3</f>
        <v>7390</v>
      </c>
      <c r="J58" s="5">
        <f>ステ計算型!$N$3</f>
        <v>66</v>
      </c>
      <c r="K58" s="5">
        <v>59</v>
      </c>
      <c r="L58" s="7">
        <f t="shared" si="13"/>
        <v>288</v>
      </c>
      <c r="M58" s="7">
        <f t="shared" si="2"/>
        <v>28961</v>
      </c>
      <c r="N58" s="2">
        <v>1</v>
      </c>
      <c r="O58" s="7">
        <f t="shared" si="0"/>
        <v>0.21</v>
      </c>
      <c r="P58" s="7">
        <f t="shared" si="14"/>
        <v>0.21</v>
      </c>
      <c r="Q58" s="2">
        <f>ステ計算型!$I$29</f>
        <v>1</v>
      </c>
      <c r="R58" s="2">
        <f>ステ計算型!$E$33</f>
        <v>0.2</v>
      </c>
      <c r="S58" s="7">
        <f t="shared" si="15"/>
        <v>3.1079999999999997</v>
      </c>
      <c r="T58" s="2">
        <f>ステ計算型!$I$27</f>
        <v>1.1000000000000001</v>
      </c>
      <c r="U58" s="2">
        <f>ステ計算型!$J$29</f>
        <v>2</v>
      </c>
      <c r="V58" s="2">
        <f>ステ計算型!$F$32</f>
        <v>0.75</v>
      </c>
      <c r="W58" s="2">
        <f>ステ計算型!$G$34</f>
        <v>1</v>
      </c>
      <c r="X58" s="7">
        <f t="shared" si="11"/>
        <v>68939.401541999992</v>
      </c>
      <c r="Y58" s="7">
        <f t="shared" si="3"/>
        <v>400</v>
      </c>
      <c r="Z58" s="7">
        <f t="shared" si="4"/>
        <v>1</v>
      </c>
      <c r="AA58" s="38">
        <f>IF(L58&lt;ステ計算型!$A$20,0,1)</f>
        <v>1</v>
      </c>
      <c r="AB58" s="3">
        <f t="shared" si="5"/>
        <v>68939.401541999992</v>
      </c>
    </row>
    <row r="59" spans="1:28" ht="8.25" customHeight="1">
      <c r="A59" s="3">
        <f t="shared" si="1"/>
        <v>69891.410159999999</v>
      </c>
      <c r="B59" s="2">
        <f>ステ計算型!$B$2</f>
        <v>101</v>
      </c>
      <c r="C59" s="7">
        <f>VLOOKUP(B59,ポイント!$A$1:$D$43,4,FALSE)</f>
        <v>571</v>
      </c>
      <c r="D59" s="2">
        <f>ステ計算型!$B$4</f>
        <v>5</v>
      </c>
      <c r="E59" s="2">
        <f>ステ計算型!$B$6</f>
        <v>127</v>
      </c>
      <c r="F59" s="2">
        <f>ステ計算型!$B$8</f>
        <v>10</v>
      </c>
      <c r="G59" s="2">
        <f>ステ計算型!$B$9</f>
        <v>82</v>
      </c>
      <c r="H59" s="7">
        <f t="shared" si="12"/>
        <v>347</v>
      </c>
      <c r="I59" s="5">
        <f>ステ計算型!$K$3</f>
        <v>7390</v>
      </c>
      <c r="J59" s="5">
        <f>ステ計算型!$N$3</f>
        <v>66</v>
      </c>
      <c r="K59" s="5">
        <v>60</v>
      </c>
      <c r="L59" s="7">
        <f t="shared" si="13"/>
        <v>287</v>
      </c>
      <c r="M59" s="7">
        <f t="shared" si="2"/>
        <v>28886</v>
      </c>
      <c r="N59" s="2">
        <v>1</v>
      </c>
      <c r="O59" s="7">
        <f t="shared" si="0"/>
        <v>0.22</v>
      </c>
      <c r="P59" s="7">
        <f t="shared" si="14"/>
        <v>0.22</v>
      </c>
      <c r="Q59" s="2">
        <f>ステ計算型!$I$29</f>
        <v>1</v>
      </c>
      <c r="R59" s="2">
        <f>ステ計算型!$E$33</f>
        <v>0.2</v>
      </c>
      <c r="S59" s="7">
        <f t="shared" si="15"/>
        <v>3.12</v>
      </c>
      <c r="T59" s="2">
        <f>ステ計算型!$I$27</f>
        <v>1.1000000000000001</v>
      </c>
      <c r="U59" s="2">
        <f>ステ計算型!$J$29</f>
        <v>2</v>
      </c>
      <c r="V59" s="2">
        <f>ステ計算型!$F$32</f>
        <v>0.75</v>
      </c>
      <c r="W59" s="2">
        <f>ステ計算型!$G$34</f>
        <v>1</v>
      </c>
      <c r="X59" s="7">
        <f t="shared" si="11"/>
        <v>69891.410159999999</v>
      </c>
      <c r="Y59" s="7">
        <f t="shared" si="3"/>
        <v>400</v>
      </c>
      <c r="Z59" s="7">
        <f t="shared" si="4"/>
        <v>1</v>
      </c>
      <c r="AA59" s="38">
        <f>IF(L59&lt;ステ計算型!$A$20,0,1)</f>
        <v>1</v>
      </c>
      <c r="AB59" s="3">
        <f t="shared" si="5"/>
        <v>69891.410159999999</v>
      </c>
    </row>
    <row r="60" spans="1:28" ht="8.25" customHeight="1">
      <c r="A60" s="3">
        <f t="shared" si="1"/>
        <v>69835.443876000005</v>
      </c>
      <c r="B60" s="2">
        <f>ステ計算型!$B$2</f>
        <v>101</v>
      </c>
      <c r="C60" s="7">
        <f>VLOOKUP(B60,ポイント!$A$1:$D$43,4,FALSE)</f>
        <v>571</v>
      </c>
      <c r="D60" s="2">
        <f>ステ計算型!$B$4</f>
        <v>5</v>
      </c>
      <c r="E60" s="2">
        <f>ステ計算型!$B$6</f>
        <v>127</v>
      </c>
      <c r="F60" s="2">
        <f>ステ計算型!$B$8</f>
        <v>10</v>
      </c>
      <c r="G60" s="2">
        <f>ステ計算型!$B$9</f>
        <v>82</v>
      </c>
      <c r="H60" s="7">
        <f t="shared" si="12"/>
        <v>347</v>
      </c>
      <c r="I60" s="5">
        <f>ステ計算型!$K$3</f>
        <v>7390</v>
      </c>
      <c r="J60" s="5">
        <f>ステ計算型!$N$3</f>
        <v>66</v>
      </c>
      <c r="K60" s="5">
        <v>61</v>
      </c>
      <c r="L60" s="7">
        <f t="shared" si="13"/>
        <v>286</v>
      </c>
      <c r="M60" s="7">
        <f t="shared" si="2"/>
        <v>28811</v>
      </c>
      <c r="N60" s="2">
        <v>1</v>
      </c>
      <c r="O60" s="7">
        <f t="shared" si="0"/>
        <v>0.22</v>
      </c>
      <c r="P60" s="7">
        <f t="shared" si="14"/>
        <v>0.22</v>
      </c>
      <c r="Q60" s="2">
        <f>ステ計算型!$I$29</f>
        <v>1</v>
      </c>
      <c r="R60" s="2">
        <f>ステ計算型!$E$33</f>
        <v>0.2</v>
      </c>
      <c r="S60" s="7">
        <f t="shared" si="15"/>
        <v>3.1319999999999997</v>
      </c>
      <c r="T60" s="2">
        <f>ステ計算型!$I$27</f>
        <v>1.1000000000000001</v>
      </c>
      <c r="U60" s="2">
        <f>ステ計算型!$J$29</f>
        <v>2</v>
      </c>
      <c r="V60" s="2">
        <f>ステ計算型!$F$32</f>
        <v>0.75</v>
      </c>
      <c r="W60" s="2">
        <f>ステ計算型!$G$34</f>
        <v>1</v>
      </c>
      <c r="X60" s="7">
        <f t="shared" si="11"/>
        <v>69835.443876000005</v>
      </c>
      <c r="Y60" s="7">
        <f t="shared" si="3"/>
        <v>400</v>
      </c>
      <c r="Z60" s="7">
        <f t="shared" si="4"/>
        <v>1</v>
      </c>
      <c r="AA60" s="38">
        <f>IF(L60&lt;ステ計算型!$A$20,0,1)</f>
        <v>1</v>
      </c>
      <c r="AB60" s="3">
        <f t="shared" si="5"/>
        <v>69835.443876000005</v>
      </c>
    </row>
    <row r="61" spans="1:28" ht="8.25" customHeight="1">
      <c r="A61" s="3">
        <f t="shared" si="1"/>
        <v>69778.824192000015</v>
      </c>
      <c r="B61" s="2">
        <f>ステ計算型!$B$2</f>
        <v>101</v>
      </c>
      <c r="C61" s="7">
        <f>VLOOKUP(B61,ポイント!$A$1:$D$43,4,FALSE)</f>
        <v>571</v>
      </c>
      <c r="D61" s="2">
        <f>ステ計算型!$B$4</f>
        <v>5</v>
      </c>
      <c r="E61" s="2">
        <f>ステ計算型!$B$6</f>
        <v>127</v>
      </c>
      <c r="F61" s="2">
        <f>ステ計算型!$B$8</f>
        <v>10</v>
      </c>
      <c r="G61" s="2">
        <f>ステ計算型!$B$9</f>
        <v>82</v>
      </c>
      <c r="H61" s="7">
        <f t="shared" si="12"/>
        <v>347</v>
      </c>
      <c r="I61" s="5">
        <f>ステ計算型!$K$3</f>
        <v>7390</v>
      </c>
      <c r="J61" s="5">
        <f>ステ計算型!$N$3</f>
        <v>66</v>
      </c>
      <c r="K61" s="5">
        <v>62</v>
      </c>
      <c r="L61" s="7">
        <f t="shared" si="13"/>
        <v>285</v>
      </c>
      <c r="M61" s="7">
        <f t="shared" si="2"/>
        <v>28736</v>
      </c>
      <c r="N61" s="2">
        <v>1</v>
      </c>
      <c r="O61" s="7">
        <f t="shared" si="0"/>
        <v>0.22</v>
      </c>
      <c r="P61" s="7">
        <f t="shared" si="14"/>
        <v>0.22</v>
      </c>
      <c r="Q61" s="2">
        <f>ステ計算型!$I$29</f>
        <v>1</v>
      </c>
      <c r="R61" s="2">
        <f>ステ計算型!$E$33</f>
        <v>0.2</v>
      </c>
      <c r="S61" s="7">
        <f t="shared" si="15"/>
        <v>3.1440000000000001</v>
      </c>
      <c r="T61" s="2">
        <f>ステ計算型!$I$27</f>
        <v>1.1000000000000001</v>
      </c>
      <c r="U61" s="2">
        <f>ステ計算型!$J$29</f>
        <v>2</v>
      </c>
      <c r="V61" s="2">
        <f>ステ計算型!$F$32</f>
        <v>0.75</v>
      </c>
      <c r="W61" s="2">
        <f>ステ計算型!$G$34</f>
        <v>1</v>
      </c>
      <c r="X61" s="7">
        <f t="shared" si="11"/>
        <v>69778.824192000015</v>
      </c>
      <c r="Y61" s="7">
        <f t="shared" si="3"/>
        <v>400</v>
      </c>
      <c r="Z61" s="7">
        <f t="shared" si="4"/>
        <v>1</v>
      </c>
      <c r="AA61" s="38">
        <f>IF(L61&lt;ステ計算型!$A$20,0,1)</f>
        <v>1</v>
      </c>
      <c r="AB61" s="3">
        <f t="shared" si="5"/>
        <v>69778.824192000015</v>
      </c>
    </row>
    <row r="62" spans="1:28" ht="8.25" customHeight="1">
      <c r="A62" s="3">
        <f t="shared" si="1"/>
        <v>69721.551107999985</v>
      </c>
      <c r="B62" s="2">
        <f>ステ計算型!$B$2</f>
        <v>101</v>
      </c>
      <c r="C62" s="7">
        <f>VLOOKUP(B62,ポイント!$A$1:$D$43,4,FALSE)</f>
        <v>571</v>
      </c>
      <c r="D62" s="2">
        <f>ステ計算型!$B$4</f>
        <v>5</v>
      </c>
      <c r="E62" s="2">
        <f>ステ計算型!$B$6</f>
        <v>127</v>
      </c>
      <c r="F62" s="2">
        <f>ステ計算型!$B$8</f>
        <v>10</v>
      </c>
      <c r="G62" s="2">
        <f>ステ計算型!$B$9</f>
        <v>82</v>
      </c>
      <c r="H62" s="7">
        <f t="shared" si="12"/>
        <v>347</v>
      </c>
      <c r="I62" s="5">
        <f>ステ計算型!$K$3</f>
        <v>7390</v>
      </c>
      <c r="J62" s="5">
        <f>ステ計算型!$N$3</f>
        <v>66</v>
      </c>
      <c r="K62" s="5">
        <v>63</v>
      </c>
      <c r="L62" s="7">
        <f t="shared" si="13"/>
        <v>284</v>
      </c>
      <c r="M62" s="7">
        <f t="shared" si="2"/>
        <v>28661</v>
      </c>
      <c r="N62" s="2">
        <v>1</v>
      </c>
      <c r="O62" s="7">
        <f t="shared" si="0"/>
        <v>0.22</v>
      </c>
      <c r="P62" s="7">
        <f t="shared" si="14"/>
        <v>0.22</v>
      </c>
      <c r="Q62" s="2">
        <f>ステ計算型!$I$29</f>
        <v>1</v>
      </c>
      <c r="R62" s="2">
        <f>ステ計算型!$E$33</f>
        <v>0.2</v>
      </c>
      <c r="S62" s="7">
        <f t="shared" si="15"/>
        <v>3.1559999999999997</v>
      </c>
      <c r="T62" s="2">
        <f>ステ計算型!$I$27</f>
        <v>1.1000000000000001</v>
      </c>
      <c r="U62" s="2">
        <f>ステ計算型!$J$29</f>
        <v>2</v>
      </c>
      <c r="V62" s="2">
        <f>ステ計算型!$F$32</f>
        <v>0.75</v>
      </c>
      <c r="W62" s="2">
        <f>ステ計算型!$G$34</f>
        <v>1</v>
      </c>
      <c r="X62" s="7">
        <f t="shared" si="11"/>
        <v>69721.551107999985</v>
      </c>
      <c r="Y62" s="7">
        <f t="shared" si="3"/>
        <v>400</v>
      </c>
      <c r="Z62" s="7">
        <f t="shared" si="4"/>
        <v>1</v>
      </c>
      <c r="AA62" s="38">
        <f>IF(L62&lt;ステ計算型!$A$20,0,1)</f>
        <v>1</v>
      </c>
      <c r="AB62" s="3">
        <f t="shared" si="5"/>
        <v>69721.551107999985</v>
      </c>
    </row>
    <row r="63" spans="1:28" ht="8.25" customHeight="1">
      <c r="A63" s="3">
        <f t="shared" si="1"/>
        <v>69663.624624000018</v>
      </c>
      <c r="B63" s="2">
        <f>ステ計算型!$B$2</f>
        <v>101</v>
      </c>
      <c r="C63" s="7">
        <f>VLOOKUP(B63,ポイント!$A$1:$D$43,4,FALSE)</f>
        <v>571</v>
      </c>
      <c r="D63" s="2">
        <f>ステ計算型!$B$4</f>
        <v>5</v>
      </c>
      <c r="E63" s="2">
        <f>ステ計算型!$B$6</f>
        <v>127</v>
      </c>
      <c r="F63" s="2">
        <f>ステ計算型!$B$8</f>
        <v>10</v>
      </c>
      <c r="G63" s="2">
        <f>ステ計算型!$B$9</f>
        <v>82</v>
      </c>
      <c r="H63" s="7">
        <f t="shared" si="12"/>
        <v>347</v>
      </c>
      <c r="I63" s="5">
        <f>ステ計算型!$K$3</f>
        <v>7390</v>
      </c>
      <c r="J63" s="5">
        <f>ステ計算型!$N$3</f>
        <v>66</v>
      </c>
      <c r="K63" s="5">
        <v>64</v>
      </c>
      <c r="L63" s="7">
        <f t="shared" si="13"/>
        <v>283</v>
      </c>
      <c r="M63" s="7">
        <f t="shared" si="2"/>
        <v>28586</v>
      </c>
      <c r="N63" s="2">
        <v>1</v>
      </c>
      <c r="O63" s="7">
        <f t="shared" si="0"/>
        <v>0.22</v>
      </c>
      <c r="P63" s="7">
        <f t="shared" si="14"/>
        <v>0.22</v>
      </c>
      <c r="Q63" s="2">
        <f>ステ計算型!$I$29</f>
        <v>1</v>
      </c>
      <c r="R63" s="2">
        <f>ステ計算型!$E$33</f>
        <v>0.2</v>
      </c>
      <c r="S63" s="7">
        <f t="shared" si="15"/>
        <v>3.1680000000000001</v>
      </c>
      <c r="T63" s="2">
        <f>ステ計算型!$I$27</f>
        <v>1.1000000000000001</v>
      </c>
      <c r="U63" s="2">
        <f>ステ計算型!$J$29</f>
        <v>2</v>
      </c>
      <c r="V63" s="2">
        <f>ステ計算型!$F$32</f>
        <v>0.75</v>
      </c>
      <c r="W63" s="2">
        <f>ステ計算型!$G$34</f>
        <v>1</v>
      </c>
      <c r="X63" s="7">
        <f t="shared" si="11"/>
        <v>69663.624624000018</v>
      </c>
      <c r="Y63" s="7">
        <f t="shared" si="3"/>
        <v>400</v>
      </c>
      <c r="Z63" s="7">
        <f t="shared" si="4"/>
        <v>1</v>
      </c>
      <c r="AA63" s="38">
        <f>IF(L63&lt;ステ計算型!$A$20,0,1)</f>
        <v>1</v>
      </c>
      <c r="AB63" s="3">
        <f t="shared" si="5"/>
        <v>69663.624624000018</v>
      </c>
    </row>
    <row r="64" spans="1:28" ht="8.25" customHeight="1">
      <c r="A64" s="3">
        <f t="shared" si="1"/>
        <v>69605.044739999983</v>
      </c>
      <c r="B64" s="2">
        <f>ステ計算型!$B$2</f>
        <v>101</v>
      </c>
      <c r="C64" s="7">
        <f>VLOOKUP(B64,ポイント!$A$1:$D$43,4,FALSE)</f>
        <v>571</v>
      </c>
      <c r="D64" s="2">
        <f>ステ計算型!$B$4</f>
        <v>5</v>
      </c>
      <c r="E64" s="2">
        <f>ステ計算型!$B$6</f>
        <v>127</v>
      </c>
      <c r="F64" s="2">
        <f>ステ計算型!$B$8</f>
        <v>10</v>
      </c>
      <c r="G64" s="2">
        <f>ステ計算型!$B$9</f>
        <v>82</v>
      </c>
      <c r="H64" s="7">
        <f t="shared" si="12"/>
        <v>347</v>
      </c>
      <c r="I64" s="5">
        <f>ステ計算型!$K$3</f>
        <v>7390</v>
      </c>
      <c r="J64" s="5">
        <f>ステ計算型!$N$3</f>
        <v>66</v>
      </c>
      <c r="K64" s="5">
        <v>65</v>
      </c>
      <c r="L64" s="7">
        <f t="shared" si="13"/>
        <v>282</v>
      </c>
      <c r="M64" s="7">
        <f t="shared" si="2"/>
        <v>28511</v>
      </c>
      <c r="N64" s="2">
        <v>1</v>
      </c>
      <c r="O64" s="7">
        <f t="shared" si="0"/>
        <v>0.22</v>
      </c>
      <c r="P64" s="7">
        <f t="shared" si="14"/>
        <v>0.22</v>
      </c>
      <c r="Q64" s="2">
        <f>ステ計算型!$I$29</f>
        <v>1</v>
      </c>
      <c r="R64" s="2">
        <f>ステ計算型!$E$33</f>
        <v>0.2</v>
      </c>
      <c r="S64" s="7">
        <f t="shared" si="15"/>
        <v>3.1799999999999997</v>
      </c>
      <c r="T64" s="2">
        <f>ステ計算型!$I$27</f>
        <v>1.1000000000000001</v>
      </c>
      <c r="U64" s="2">
        <f>ステ計算型!$J$29</f>
        <v>2</v>
      </c>
      <c r="V64" s="2">
        <f>ステ計算型!$F$32</f>
        <v>0.75</v>
      </c>
      <c r="W64" s="2">
        <f>ステ計算型!$G$34</f>
        <v>1</v>
      </c>
      <c r="X64" s="7">
        <f t="shared" si="11"/>
        <v>69605.044739999983</v>
      </c>
      <c r="Y64" s="7">
        <f t="shared" si="3"/>
        <v>400</v>
      </c>
      <c r="Z64" s="7">
        <f t="shared" si="4"/>
        <v>1</v>
      </c>
      <c r="AA64" s="38">
        <f>IF(L64&lt;ステ計算型!$A$20,0,1)</f>
        <v>1</v>
      </c>
      <c r="AB64" s="3">
        <f t="shared" si="5"/>
        <v>69605.044739999983</v>
      </c>
    </row>
    <row r="65" spans="1:28" ht="8.25" customHeight="1">
      <c r="A65" s="3">
        <f t="shared" si="1"/>
        <v>69545.811456000025</v>
      </c>
      <c r="B65" s="2">
        <f>ステ計算型!$B$2</f>
        <v>101</v>
      </c>
      <c r="C65" s="7">
        <f>VLOOKUP(B65,ポイント!$A$1:$D$43,4,FALSE)</f>
        <v>571</v>
      </c>
      <c r="D65" s="2">
        <f>ステ計算型!$B$4</f>
        <v>5</v>
      </c>
      <c r="E65" s="2">
        <f>ステ計算型!$B$6</f>
        <v>127</v>
      </c>
      <c r="F65" s="2">
        <f>ステ計算型!$B$8</f>
        <v>10</v>
      </c>
      <c r="G65" s="2">
        <f>ステ計算型!$B$9</f>
        <v>82</v>
      </c>
      <c r="H65" s="7">
        <f t="shared" si="12"/>
        <v>347</v>
      </c>
      <c r="I65" s="5">
        <f>ステ計算型!$K$3</f>
        <v>7390</v>
      </c>
      <c r="J65" s="5">
        <f>ステ計算型!$N$3</f>
        <v>66</v>
      </c>
      <c r="K65" s="5">
        <v>66</v>
      </c>
      <c r="L65" s="7">
        <f t="shared" si="13"/>
        <v>281</v>
      </c>
      <c r="M65" s="7">
        <f t="shared" si="2"/>
        <v>28436</v>
      </c>
      <c r="N65" s="2">
        <v>1</v>
      </c>
      <c r="O65" s="7">
        <f t="shared" si="0"/>
        <v>0.22</v>
      </c>
      <c r="P65" s="7">
        <f t="shared" si="14"/>
        <v>0.22</v>
      </c>
      <c r="Q65" s="2">
        <f>ステ計算型!$I$29</f>
        <v>1</v>
      </c>
      <c r="R65" s="2">
        <f>ステ計算型!$E$33</f>
        <v>0.2</v>
      </c>
      <c r="S65" s="7">
        <f t="shared" si="15"/>
        <v>3.1920000000000002</v>
      </c>
      <c r="T65" s="2">
        <f>ステ計算型!$I$27</f>
        <v>1.1000000000000001</v>
      </c>
      <c r="U65" s="2">
        <f>ステ計算型!$J$29</f>
        <v>2</v>
      </c>
      <c r="V65" s="2">
        <f>ステ計算型!$F$32</f>
        <v>0.75</v>
      </c>
      <c r="W65" s="2">
        <f>ステ計算型!$G$34</f>
        <v>1</v>
      </c>
      <c r="X65" s="7">
        <f t="shared" si="11"/>
        <v>69545.811456000025</v>
      </c>
      <c r="Y65" s="7">
        <f t="shared" si="3"/>
        <v>400</v>
      </c>
      <c r="Z65" s="7">
        <f t="shared" si="4"/>
        <v>1</v>
      </c>
      <c r="AA65" s="38">
        <f>IF(L65&lt;ステ計算型!$A$20,0,1)</f>
        <v>1</v>
      </c>
      <c r="AB65" s="3">
        <f t="shared" si="5"/>
        <v>69545.811456000025</v>
      </c>
    </row>
    <row r="66" spans="1:28" ht="8.25" customHeight="1">
      <c r="A66" s="3">
        <f t="shared" si="1"/>
        <v>70519.787316000002</v>
      </c>
      <c r="B66" s="2">
        <f>ステ計算型!$B$2</f>
        <v>101</v>
      </c>
      <c r="C66" s="7">
        <f>VLOOKUP(B66,ポイント!$A$1:$D$43,4,FALSE)</f>
        <v>571</v>
      </c>
      <c r="D66" s="2">
        <f>ステ計算型!$B$4</f>
        <v>5</v>
      </c>
      <c r="E66" s="2">
        <f>ステ計算型!$B$6</f>
        <v>127</v>
      </c>
      <c r="F66" s="2">
        <f>ステ計算型!$B$8</f>
        <v>10</v>
      </c>
      <c r="G66" s="2">
        <f>ステ計算型!$B$9</f>
        <v>82</v>
      </c>
      <c r="H66" s="7">
        <f t="shared" si="12"/>
        <v>347</v>
      </c>
      <c r="I66" s="5">
        <f>ステ計算型!$K$3</f>
        <v>7390</v>
      </c>
      <c r="J66" s="5">
        <f>ステ計算型!$N$3</f>
        <v>66</v>
      </c>
      <c r="K66" s="5">
        <v>67</v>
      </c>
      <c r="L66" s="7">
        <f t="shared" si="13"/>
        <v>280</v>
      </c>
      <c r="M66" s="7">
        <f t="shared" si="2"/>
        <v>28362</v>
      </c>
      <c r="N66" s="2">
        <v>1</v>
      </c>
      <c r="O66" s="7">
        <f t="shared" si="0"/>
        <v>0.23</v>
      </c>
      <c r="P66" s="7">
        <f t="shared" si="14"/>
        <v>0.23</v>
      </c>
      <c r="Q66" s="2">
        <f>ステ計算型!$I$29</f>
        <v>1</v>
      </c>
      <c r="R66" s="2">
        <f>ステ計算型!$E$33</f>
        <v>0.2</v>
      </c>
      <c r="S66" s="7">
        <f t="shared" si="15"/>
        <v>3.2039999999999997</v>
      </c>
      <c r="T66" s="2">
        <f>ステ計算型!$I$27</f>
        <v>1.1000000000000001</v>
      </c>
      <c r="U66" s="2">
        <f>ステ計算型!$J$29</f>
        <v>2</v>
      </c>
      <c r="V66" s="2">
        <f>ステ計算型!$F$32</f>
        <v>0.75</v>
      </c>
      <c r="W66" s="2">
        <f>ステ計算型!$G$34</f>
        <v>1</v>
      </c>
      <c r="X66" s="7">
        <f t="shared" si="11"/>
        <v>70519.787316000002</v>
      </c>
      <c r="Y66" s="7">
        <f t="shared" si="3"/>
        <v>400</v>
      </c>
      <c r="Z66" s="7">
        <f t="shared" si="4"/>
        <v>1</v>
      </c>
      <c r="AA66" s="38">
        <f>IF(L66&lt;ステ計算型!$A$20,0,1)</f>
        <v>1</v>
      </c>
      <c r="AB66" s="3">
        <f t="shared" si="5"/>
        <v>70519.787316000002</v>
      </c>
    </row>
    <row r="67" spans="1:28" ht="8.25" customHeight="1">
      <c r="A67" s="3">
        <f t="shared" si="1"/>
        <v>70462.124964000017</v>
      </c>
      <c r="B67" s="2">
        <f>ステ計算型!$B$2</f>
        <v>101</v>
      </c>
      <c r="C67" s="7">
        <f>VLOOKUP(B67,ポイント!$A$1:$D$43,4,FALSE)</f>
        <v>571</v>
      </c>
      <c r="D67" s="2">
        <f>ステ計算型!$B$4</f>
        <v>5</v>
      </c>
      <c r="E67" s="2">
        <f>ステ計算型!$B$6</f>
        <v>127</v>
      </c>
      <c r="F67" s="2">
        <f>ステ計算型!$B$8</f>
        <v>10</v>
      </c>
      <c r="G67" s="2">
        <f>ステ計算型!$B$9</f>
        <v>82</v>
      </c>
      <c r="H67" s="7">
        <f t="shared" si="12"/>
        <v>347</v>
      </c>
      <c r="I67" s="5">
        <f>ステ計算型!$K$3</f>
        <v>7390</v>
      </c>
      <c r="J67" s="5">
        <f>ステ計算型!$N$3</f>
        <v>66</v>
      </c>
      <c r="K67" s="5">
        <v>68</v>
      </c>
      <c r="L67" s="7">
        <f t="shared" si="13"/>
        <v>279</v>
      </c>
      <c r="M67" s="7">
        <f t="shared" si="2"/>
        <v>28287</v>
      </c>
      <c r="N67" s="2">
        <v>1</v>
      </c>
      <c r="O67" s="7">
        <f t="shared" ref="O67:O130" si="16">ROUNDDOWN(((J67*(K67/100+1))/5)+1,0)/100*N67</f>
        <v>0.23</v>
      </c>
      <c r="P67" s="7">
        <f t="shared" si="14"/>
        <v>0.23</v>
      </c>
      <c r="Q67" s="2">
        <f>ステ計算型!$I$29</f>
        <v>1</v>
      </c>
      <c r="R67" s="2">
        <f>ステ計算型!$E$33</f>
        <v>0.2</v>
      </c>
      <c r="S67" s="7">
        <f t="shared" si="15"/>
        <v>3.2160000000000002</v>
      </c>
      <c r="T67" s="2">
        <f>ステ計算型!$I$27</f>
        <v>1.1000000000000001</v>
      </c>
      <c r="U67" s="2">
        <f>ステ計算型!$J$29</f>
        <v>2</v>
      </c>
      <c r="V67" s="2">
        <f>ステ計算型!$F$32</f>
        <v>0.75</v>
      </c>
      <c r="W67" s="2">
        <f>ステ計算型!$G$34</f>
        <v>1</v>
      </c>
      <c r="X67" s="7">
        <f t="shared" si="11"/>
        <v>70462.124964000017</v>
      </c>
      <c r="Y67" s="7">
        <f t="shared" si="3"/>
        <v>400</v>
      </c>
      <c r="Z67" s="7">
        <f t="shared" si="4"/>
        <v>1</v>
      </c>
      <c r="AA67" s="38">
        <f>IF(L67&lt;ステ計算型!$A$20,0,1)</f>
        <v>1</v>
      </c>
      <c r="AB67" s="3">
        <f t="shared" si="5"/>
        <v>70462.124964000017</v>
      </c>
    </row>
    <row r="68" spans="1:28" ht="8.25" customHeight="1">
      <c r="A68" s="3">
        <f t="shared" si="1"/>
        <v>70403.779512000008</v>
      </c>
      <c r="B68" s="2">
        <f>ステ計算型!$B$2</f>
        <v>101</v>
      </c>
      <c r="C68" s="7">
        <f>VLOOKUP(B68,ポイント!$A$1:$D$43,4,FALSE)</f>
        <v>571</v>
      </c>
      <c r="D68" s="2">
        <f>ステ計算型!$B$4</f>
        <v>5</v>
      </c>
      <c r="E68" s="2">
        <f>ステ計算型!$B$6</f>
        <v>127</v>
      </c>
      <c r="F68" s="2">
        <f>ステ計算型!$B$8</f>
        <v>10</v>
      </c>
      <c r="G68" s="2">
        <f>ステ計算型!$B$9</f>
        <v>82</v>
      </c>
      <c r="H68" s="7">
        <f t="shared" si="12"/>
        <v>347</v>
      </c>
      <c r="I68" s="5">
        <f>ステ計算型!$K$3</f>
        <v>7390</v>
      </c>
      <c r="J68" s="5">
        <f>ステ計算型!$N$3</f>
        <v>66</v>
      </c>
      <c r="K68" s="5">
        <v>69</v>
      </c>
      <c r="L68" s="7">
        <f t="shared" si="13"/>
        <v>278</v>
      </c>
      <c r="M68" s="7">
        <f t="shared" si="2"/>
        <v>28212</v>
      </c>
      <c r="N68" s="2">
        <v>1</v>
      </c>
      <c r="O68" s="7">
        <f t="shared" si="16"/>
        <v>0.23</v>
      </c>
      <c r="P68" s="7">
        <f t="shared" si="14"/>
        <v>0.23</v>
      </c>
      <c r="Q68" s="2">
        <f>ステ計算型!$I$29</f>
        <v>1</v>
      </c>
      <c r="R68" s="2">
        <f>ステ計算型!$E$33</f>
        <v>0.2</v>
      </c>
      <c r="S68" s="7">
        <f t="shared" si="15"/>
        <v>3.2279999999999998</v>
      </c>
      <c r="T68" s="2">
        <f>ステ計算型!$I$27</f>
        <v>1.1000000000000001</v>
      </c>
      <c r="U68" s="2">
        <f>ステ計算型!$J$29</f>
        <v>2</v>
      </c>
      <c r="V68" s="2">
        <f>ステ計算型!$F$32</f>
        <v>0.75</v>
      </c>
      <c r="W68" s="2">
        <f>ステ計算型!$G$34</f>
        <v>1</v>
      </c>
      <c r="X68" s="7">
        <f t="shared" si="11"/>
        <v>70403.779512000008</v>
      </c>
      <c r="Y68" s="7">
        <f t="shared" si="3"/>
        <v>400</v>
      </c>
      <c r="Z68" s="7">
        <f t="shared" si="4"/>
        <v>1</v>
      </c>
      <c r="AA68" s="38">
        <f>IF(L68&lt;ステ計算型!$A$20,0,1)</f>
        <v>1</v>
      </c>
      <c r="AB68" s="3">
        <f t="shared" si="5"/>
        <v>70403.779512000008</v>
      </c>
    </row>
    <row r="69" spans="1:28" ht="8.25" customHeight="1">
      <c r="A69" s="3">
        <f t="shared" ref="A69:A132" si="17">X69*Z69*AA69</f>
        <v>70344.750960000019</v>
      </c>
      <c r="B69" s="2">
        <f>ステ計算型!$B$2</f>
        <v>101</v>
      </c>
      <c r="C69" s="7">
        <f>VLOOKUP(B69,ポイント!$A$1:$D$43,4,FALSE)</f>
        <v>571</v>
      </c>
      <c r="D69" s="2">
        <f>ステ計算型!$B$4</f>
        <v>5</v>
      </c>
      <c r="E69" s="2">
        <f>ステ計算型!$B$6</f>
        <v>127</v>
      </c>
      <c r="F69" s="2">
        <f>ステ計算型!$B$8</f>
        <v>10</v>
      </c>
      <c r="G69" s="2">
        <f>ステ計算型!$B$9</f>
        <v>82</v>
      </c>
      <c r="H69" s="7">
        <f t="shared" si="12"/>
        <v>347</v>
      </c>
      <c r="I69" s="5">
        <f>ステ計算型!$K$3</f>
        <v>7390</v>
      </c>
      <c r="J69" s="5">
        <f>ステ計算型!$N$3</f>
        <v>66</v>
      </c>
      <c r="K69" s="5">
        <v>70</v>
      </c>
      <c r="L69" s="7">
        <f t="shared" si="13"/>
        <v>277</v>
      </c>
      <c r="M69" s="7">
        <f t="shared" ref="M69:M132" si="18">ROUNDDOWN(I69*(L69/100+1)+L69,0)</f>
        <v>28137</v>
      </c>
      <c r="N69" s="2">
        <v>1</v>
      </c>
      <c r="O69" s="7">
        <f t="shared" si="16"/>
        <v>0.23</v>
      </c>
      <c r="P69" s="7">
        <f t="shared" si="14"/>
        <v>0.23</v>
      </c>
      <c r="Q69" s="2">
        <f>ステ計算型!$I$29</f>
        <v>1</v>
      </c>
      <c r="R69" s="2">
        <f>ステ計算型!$E$33</f>
        <v>0.2</v>
      </c>
      <c r="S69" s="7">
        <f t="shared" si="15"/>
        <v>3.24</v>
      </c>
      <c r="T69" s="2">
        <f>ステ計算型!$I$27</f>
        <v>1.1000000000000001</v>
      </c>
      <c r="U69" s="2">
        <f>ステ計算型!$J$29</f>
        <v>2</v>
      </c>
      <c r="V69" s="2">
        <f>ステ計算型!$F$32</f>
        <v>0.75</v>
      </c>
      <c r="W69" s="2">
        <f>ステ計算型!$G$34</f>
        <v>1</v>
      </c>
      <c r="X69" s="7">
        <f t="shared" si="11"/>
        <v>70344.750960000019</v>
      </c>
      <c r="Y69" s="7">
        <f t="shared" ref="Y69:Y132" si="19">IF(B69&gt;99,400,350)</f>
        <v>400</v>
      </c>
      <c r="Z69" s="7">
        <f t="shared" ref="Z69:Z132" si="20">IF(L69&gt;Y69,0,1)</f>
        <v>1</v>
      </c>
      <c r="AA69" s="38">
        <f>IF(L69&lt;ステ計算型!$A$20,0,1)</f>
        <v>1</v>
      </c>
      <c r="AB69" s="3">
        <f t="shared" ref="AB69:AB132" si="21">X69*Z69*AA69</f>
        <v>70344.750960000019</v>
      </c>
    </row>
    <row r="70" spans="1:28" ht="8.25" customHeight="1">
      <c r="A70" s="3">
        <f t="shared" si="17"/>
        <v>70285.039308000007</v>
      </c>
      <c r="B70" s="2">
        <f>ステ計算型!$B$2</f>
        <v>101</v>
      </c>
      <c r="C70" s="7">
        <f>VLOOKUP(B70,ポイント!$A$1:$D$43,4,FALSE)</f>
        <v>571</v>
      </c>
      <c r="D70" s="2">
        <f>ステ計算型!$B$4</f>
        <v>5</v>
      </c>
      <c r="E70" s="2">
        <f>ステ計算型!$B$6</f>
        <v>127</v>
      </c>
      <c r="F70" s="2">
        <f>ステ計算型!$B$8</f>
        <v>10</v>
      </c>
      <c r="G70" s="2">
        <f>ステ計算型!$B$9</f>
        <v>82</v>
      </c>
      <c r="H70" s="7">
        <f t="shared" si="12"/>
        <v>347</v>
      </c>
      <c r="I70" s="5">
        <f>ステ計算型!$K$3</f>
        <v>7390</v>
      </c>
      <c r="J70" s="5">
        <f>ステ計算型!$N$3</f>
        <v>66</v>
      </c>
      <c r="K70" s="5">
        <v>71</v>
      </c>
      <c r="L70" s="7">
        <f t="shared" si="13"/>
        <v>276</v>
      </c>
      <c r="M70" s="7">
        <f t="shared" si="18"/>
        <v>28062</v>
      </c>
      <c r="N70" s="2">
        <v>1</v>
      </c>
      <c r="O70" s="7">
        <f t="shared" si="16"/>
        <v>0.23</v>
      </c>
      <c r="P70" s="7">
        <f t="shared" si="14"/>
        <v>0.23</v>
      </c>
      <c r="Q70" s="2">
        <f>ステ計算型!$I$29</f>
        <v>1</v>
      </c>
      <c r="R70" s="2">
        <f>ステ計算型!$E$33</f>
        <v>0.2</v>
      </c>
      <c r="S70" s="7">
        <f t="shared" si="15"/>
        <v>3.2519999999999998</v>
      </c>
      <c r="T70" s="2">
        <f>ステ計算型!$I$27</f>
        <v>1.1000000000000001</v>
      </c>
      <c r="U70" s="2">
        <f>ステ計算型!$J$29</f>
        <v>2</v>
      </c>
      <c r="V70" s="2">
        <f>ステ計算型!$F$32</f>
        <v>0.75</v>
      </c>
      <c r="W70" s="2">
        <f>ステ計算型!$G$34</f>
        <v>1</v>
      </c>
      <c r="X70" s="7">
        <f t="shared" si="11"/>
        <v>70285.039308000007</v>
      </c>
      <c r="Y70" s="7">
        <f t="shared" si="19"/>
        <v>400</v>
      </c>
      <c r="Z70" s="7">
        <f t="shared" si="20"/>
        <v>1</v>
      </c>
      <c r="AA70" s="38">
        <f>IF(L70&lt;ステ計算型!$A$20,0,1)</f>
        <v>1</v>
      </c>
      <c r="AB70" s="3">
        <f t="shared" si="21"/>
        <v>70285.039308000007</v>
      </c>
    </row>
    <row r="71" spans="1:28" ht="8.25" customHeight="1">
      <c r="A71" s="3">
        <f t="shared" si="17"/>
        <v>70224.644555999999</v>
      </c>
      <c r="B71" s="2">
        <f>ステ計算型!$B$2</f>
        <v>101</v>
      </c>
      <c r="C71" s="7">
        <f>VLOOKUP(B71,ポイント!$A$1:$D$43,4,FALSE)</f>
        <v>571</v>
      </c>
      <c r="D71" s="2">
        <f>ステ計算型!$B$4</f>
        <v>5</v>
      </c>
      <c r="E71" s="2">
        <f>ステ計算型!$B$6</f>
        <v>127</v>
      </c>
      <c r="F71" s="2">
        <f>ステ計算型!$B$8</f>
        <v>10</v>
      </c>
      <c r="G71" s="2">
        <f>ステ計算型!$B$9</f>
        <v>82</v>
      </c>
      <c r="H71" s="7">
        <f t="shared" si="12"/>
        <v>347</v>
      </c>
      <c r="I71" s="5">
        <f>ステ計算型!$K$3</f>
        <v>7390</v>
      </c>
      <c r="J71" s="5">
        <f>ステ計算型!$N$3</f>
        <v>66</v>
      </c>
      <c r="K71" s="5">
        <v>72</v>
      </c>
      <c r="L71" s="7">
        <f t="shared" si="13"/>
        <v>275</v>
      </c>
      <c r="M71" s="7">
        <f t="shared" si="18"/>
        <v>27987</v>
      </c>
      <c r="N71" s="2">
        <v>1</v>
      </c>
      <c r="O71" s="7">
        <f t="shared" si="16"/>
        <v>0.23</v>
      </c>
      <c r="P71" s="7">
        <f t="shared" si="14"/>
        <v>0.23</v>
      </c>
      <c r="Q71" s="2">
        <f>ステ計算型!$I$29</f>
        <v>1</v>
      </c>
      <c r="R71" s="2">
        <f>ステ計算型!$E$33</f>
        <v>0.2</v>
      </c>
      <c r="S71" s="7">
        <f t="shared" si="15"/>
        <v>3.2639999999999998</v>
      </c>
      <c r="T71" s="2">
        <f>ステ計算型!$I$27</f>
        <v>1.1000000000000001</v>
      </c>
      <c r="U71" s="2">
        <f>ステ計算型!$J$29</f>
        <v>2</v>
      </c>
      <c r="V71" s="2">
        <f>ステ計算型!$F$32</f>
        <v>0.75</v>
      </c>
      <c r="W71" s="2">
        <f>ステ計算型!$G$34</f>
        <v>1</v>
      </c>
      <c r="X71" s="7">
        <f t="shared" si="11"/>
        <v>70224.644555999999</v>
      </c>
      <c r="Y71" s="7">
        <f t="shared" si="19"/>
        <v>400</v>
      </c>
      <c r="Z71" s="7">
        <f t="shared" si="20"/>
        <v>1</v>
      </c>
      <c r="AA71" s="38">
        <f>IF(L71&lt;ステ計算型!$A$20,0,1)</f>
        <v>1</v>
      </c>
      <c r="AB71" s="3">
        <f t="shared" si="21"/>
        <v>70224.644555999999</v>
      </c>
    </row>
    <row r="72" spans="1:28" ht="8.25" customHeight="1">
      <c r="A72" s="3">
        <f t="shared" si="17"/>
        <v>0</v>
      </c>
      <c r="B72" s="2">
        <f>ステ計算型!$B$2</f>
        <v>101</v>
      </c>
      <c r="C72" s="7">
        <f>VLOOKUP(B72,ポイント!$A$1:$D$43,4,FALSE)</f>
        <v>571</v>
      </c>
      <c r="D72" s="2">
        <f>ステ計算型!$B$4</f>
        <v>5</v>
      </c>
      <c r="E72" s="2">
        <f>ステ計算型!$B$6</f>
        <v>127</v>
      </c>
      <c r="F72" s="2">
        <f>ステ計算型!$B$8</f>
        <v>10</v>
      </c>
      <c r="G72" s="2">
        <f>ステ計算型!$B$9</f>
        <v>82</v>
      </c>
      <c r="H72" s="7">
        <f t="shared" si="12"/>
        <v>347</v>
      </c>
      <c r="I72" s="5">
        <f>ステ計算型!$K$3</f>
        <v>7390</v>
      </c>
      <c r="J72" s="5">
        <f>ステ計算型!$N$3</f>
        <v>66</v>
      </c>
      <c r="K72" s="5">
        <v>73</v>
      </c>
      <c r="L72" s="7">
        <f t="shared" si="13"/>
        <v>274</v>
      </c>
      <c r="M72" s="7">
        <f t="shared" si="18"/>
        <v>27912</v>
      </c>
      <c r="N72" s="2">
        <v>1</v>
      </c>
      <c r="O72" s="7">
        <f t="shared" si="16"/>
        <v>0.23</v>
      </c>
      <c r="P72" s="7">
        <f t="shared" si="14"/>
        <v>0.23</v>
      </c>
      <c r="Q72" s="2">
        <f>ステ計算型!$I$29</f>
        <v>1</v>
      </c>
      <c r="R72" s="2">
        <f>ステ計算型!$E$33</f>
        <v>0.2</v>
      </c>
      <c r="S72" s="7">
        <f t="shared" si="15"/>
        <v>3.2759999999999998</v>
      </c>
      <c r="T72" s="2">
        <f>ステ計算型!$I$27</f>
        <v>1.1000000000000001</v>
      </c>
      <c r="U72" s="2">
        <f>ステ計算型!$J$29</f>
        <v>2</v>
      </c>
      <c r="V72" s="2">
        <f>ステ計算型!$F$32</f>
        <v>0.75</v>
      </c>
      <c r="W72" s="2">
        <f>ステ計算型!$G$34</f>
        <v>1</v>
      </c>
      <c r="X72" s="7">
        <f t="shared" si="11"/>
        <v>70163.566704000012</v>
      </c>
      <c r="Y72" s="7">
        <f t="shared" si="19"/>
        <v>400</v>
      </c>
      <c r="Z72" s="7">
        <f t="shared" si="20"/>
        <v>1</v>
      </c>
      <c r="AA72" s="38">
        <f>IF(L72&lt;ステ計算型!$A$20,0,1)</f>
        <v>0</v>
      </c>
      <c r="AB72" s="3">
        <f t="shared" si="21"/>
        <v>0</v>
      </c>
    </row>
    <row r="73" spans="1:28" ht="8.25" customHeight="1">
      <c r="A73" s="3">
        <f t="shared" si="17"/>
        <v>0</v>
      </c>
      <c r="B73" s="2">
        <f>ステ計算型!$B$2</f>
        <v>101</v>
      </c>
      <c r="C73" s="7">
        <f>VLOOKUP(B73,ポイント!$A$1:$D$43,4,FALSE)</f>
        <v>571</v>
      </c>
      <c r="D73" s="2">
        <f>ステ計算型!$B$4</f>
        <v>5</v>
      </c>
      <c r="E73" s="2">
        <f>ステ計算型!$B$6</f>
        <v>127</v>
      </c>
      <c r="F73" s="2">
        <f>ステ計算型!$B$8</f>
        <v>10</v>
      </c>
      <c r="G73" s="2">
        <f>ステ計算型!$B$9</f>
        <v>82</v>
      </c>
      <c r="H73" s="7">
        <f t="shared" si="12"/>
        <v>347</v>
      </c>
      <c r="I73" s="5">
        <f>ステ計算型!$K$3</f>
        <v>7390</v>
      </c>
      <c r="J73" s="5">
        <f>ステ計算型!$N$3</f>
        <v>66</v>
      </c>
      <c r="K73" s="5">
        <v>74</v>
      </c>
      <c r="L73" s="7">
        <f t="shared" si="13"/>
        <v>273</v>
      </c>
      <c r="M73" s="7">
        <f t="shared" si="18"/>
        <v>27837</v>
      </c>
      <c r="N73" s="2">
        <v>1</v>
      </c>
      <c r="O73" s="7">
        <f t="shared" si="16"/>
        <v>0.23</v>
      </c>
      <c r="P73" s="7">
        <f t="shared" si="14"/>
        <v>0.23</v>
      </c>
      <c r="Q73" s="2">
        <f>ステ計算型!$I$29</f>
        <v>1</v>
      </c>
      <c r="R73" s="2">
        <f>ステ計算型!$E$33</f>
        <v>0.2</v>
      </c>
      <c r="S73" s="7">
        <f t="shared" si="15"/>
        <v>3.2880000000000003</v>
      </c>
      <c r="T73" s="2">
        <f>ステ計算型!$I$27</f>
        <v>1.1000000000000001</v>
      </c>
      <c r="U73" s="2">
        <f>ステ計算型!$J$29</f>
        <v>2</v>
      </c>
      <c r="V73" s="2">
        <f>ステ計算型!$F$32</f>
        <v>0.75</v>
      </c>
      <c r="W73" s="2">
        <f>ステ計算型!$G$34</f>
        <v>1</v>
      </c>
      <c r="X73" s="7">
        <f t="shared" si="11"/>
        <v>70101.805752000015</v>
      </c>
      <c r="Y73" s="7">
        <f t="shared" si="19"/>
        <v>400</v>
      </c>
      <c r="Z73" s="7">
        <f t="shared" si="20"/>
        <v>1</v>
      </c>
      <c r="AA73" s="38">
        <f>IF(L73&lt;ステ計算型!$A$20,0,1)</f>
        <v>0</v>
      </c>
      <c r="AB73" s="3">
        <f t="shared" si="21"/>
        <v>0</v>
      </c>
    </row>
    <row r="74" spans="1:28" ht="8.25" customHeight="1">
      <c r="A74" s="3">
        <f t="shared" si="17"/>
        <v>0</v>
      </c>
      <c r="B74" s="2">
        <f>ステ計算型!$B$2</f>
        <v>101</v>
      </c>
      <c r="C74" s="7">
        <f>VLOOKUP(B74,ポイント!$A$1:$D$43,4,FALSE)</f>
        <v>571</v>
      </c>
      <c r="D74" s="2">
        <f>ステ計算型!$B$4</f>
        <v>5</v>
      </c>
      <c r="E74" s="2">
        <f>ステ計算型!$B$6</f>
        <v>127</v>
      </c>
      <c r="F74" s="2">
        <f>ステ計算型!$B$8</f>
        <v>10</v>
      </c>
      <c r="G74" s="2">
        <f>ステ計算型!$B$9</f>
        <v>82</v>
      </c>
      <c r="H74" s="7">
        <f t="shared" si="12"/>
        <v>347</v>
      </c>
      <c r="I74" s="5">
        <f>ステ計算型!$K$3</f>
        <v>7390</v>
      </c>
      <c r="J74" s="5">
        <f>ステ計算型!$N$3</f>
        <v>66</v>
      </c>
      <c r="K74" s="5">
        <v>75</v>
      </c>
      <c r="L74" s="7">
        <f t="shared" si="13"/>
        <v>272</v>
      </c>
      <c r="M74" s="7">
        <f t="shared" si="18"/>
        <v>27762</v>
      </c>
      <c r="N74" s="2">
        <v>1</v>
      </c>
      <c r="O74" s="7">
        <f t="shared" si="16"/>
        <v>0.24</v>
      </c>
      <c r="P74" s="7">
        <f t="shared" si="14"/>
        <v>0.24</v>
      </c>
      <c r="Q74" s="2">
        <f>ステ計算型!$I$29</f>
        <v>1</v>
      </c>
      <c r="R74" s="2">
        <f>ステ計算型!$E$33</f>
        <v>0.2</v>
      </c>
      <c r="S74" s="7">
        <f t="shared" si="15"/>
        <v>3.3</v>
      </c>
      <c r="T74" s="2">
        <f>ステ計算型!$I$27</f>
        <v>1.1000000000000001</v>
      </c>
      <c r="U74" s="2">
        <f>ステ計算型!$J$29</f>
        <v>2</v>
      </c>
      <c r="V74" s="2">
        <f>ステ計算型!$F$32</f>
        <v>0.75</v>
      </c>
      <c r="W74" s="2">
        <f>ステ計算型!$G$34</f>
        <v>1</v>
      </c>
      <c r="X74" s="7">
        <f t="shared" si="11"/>
        <v>71092.929600000003</v>
      </c>
      <c r="Y74" s="7">
        <f t="shared" si="19"/>
        <v>400</v>
      </c>
      <c r="Z74" s="7">
        <f t="shared" si="20"/>
        <v>1</v>
      </c>
      <c r="AA74" s="38">
        <f>IF(L74&lt;ステ計算型!$A$20,0,1)</f>
        <v>0</v>
      </c>
      <c r="AB74" s="3">
        <f t="shared" si="21"/>
        <v>0</v>
      </c>
    </row>
    <row r="75" spans="1:28" ht="8.25" customHeight="1">
      <c r="A75" s="3">
        <f t="shared" si="17"/>
        <v>0</v>
      </c>
      <c r="B75" s="2">
        <f>ステ計算型!$B$2</f>
        <v>101</v>
      </c>
      <c r="C75" s="7">
        <f>VLOOKUP(B75,ポイント!$A$1:$D$43,4,FALSE)</f>
        <v>571</v>
      </c>
      <c r="D75" s="2">
        <f>ステ計算型!$B$4</f>
        <v>5</v>
      </c>
      <c r="E75" s="2">
        <f>ステ計算型!$B$6</f>
        <v>127</v>
      </c>
      <c r="F75" s="2">
        <f>ステ計算型!$B$8</f>
        <v>10</v>
      </c>
      <c r="G75" s="2">
        <f>ステ計算型!$B$9</f>
        <v>82</v>
      </c>
      <c r="H75" s="7">
        <f t="shared" si="12"/>
        <v>347</v>
      </c>
      <c r="I75" s="5">
        <f>ステ計算型!$K$3</f>
        <v>7390</v>
      </c>
      <c r="J75" s="5">
        <f>ステ計算型!$N$3</f>
        <v>66</v>
      </c>
      <c r="K75" s="5">
        <v>76</v>
      </c>
      <c r="L75" s="7">
        <f t="shared" si="13"/>
        <v>271</v>
      </c>
      <c r="M75" s="7">
        <f t="shared" si="18"/>
        <v>27687</v>
      </c>
      <c r="N75" s="2">
        <v>1</v>
      </c>
      <c r="O75" s="7">
        <f t="shared" si="16"/>
        <v>0.24</v>
      </c>
      <c r="P75" s="7">
        <f t="shared" si="14"/>
        <v>0.24</v>
      </c>
      <c r="Q75" s="2">
        <f>ステ計算型!$I$29</f>
        <v>1</v>
      </c>
      <c r="R75" s="2">
        <f>ステ計算型!$E$33</f>
        <v>0.2</v>
      </c>
      <c r="S75" s="7">
        <f t="shared" si="15"/>
        <v>3.3119999999999998</v>
      </c>
      <c r="T75" s="2">
        <f>ステ計算型!$I$27</f>
        <v>1.1000000000000001</v>
      </c>
      <c r="U75" s="2">
        <f>ステ計算型!$J$29</f>
        <v>2</v>
      </c>
      <c r="V75" s="2">
        <f>ステ計算型!$F$32</f>
        <v>0.75</v>
      </c>
      <c r="W75" s="2">
        <f>ステ計算型!$G$34</f>
        <v>1</v>
      </c>
      <c r="X75" s="7">
        <f t="shared" si="11"/>
        <v>71032.438224000012</v>
      </c>
      <c r="Y75" s="7">
        <f t="shared" si="19"/>
        <v>400</v>
      </c>
      <c r="Z75" s="7">
        <f t="shared" si="20"/>
        <v>1</v>
      </c>
      <c r="AA75" s="38">
        <f>IF(L75&lt;ステ計算型!$A$20,0,1)</f>
        <v>0</v>
      </c>
      <c r="AB75" s="3">
        <f t="shared" si="21"/>
        <v>0</v>
      </c>
    </row>
    <row r="76" spans="1:28" ht="8.25" customHeight="1">
      <c r="A76" s="3">
        <f t="shared" si="17"/>
        <v>0</v>
      </c>
      <c r="B76" s="2">
        <f>ステ計算型!$B$2</f>
        <v>101</v>
      </c>
      <c r="C76" s="7">
        <f>VLOOKUP(B76,ポイント!$A$1:$D$43,4,FALSE)</f>
        <v>571</v>
      </c>
      <c r="D76" s="2">
        <f>ステ計算型!$B$4</f>
        <v>5</v>
      </c>
      <c r="E76" s="2">
        <f>ステ計算型!$B$6</f>
        <v>127</v>
      </c>
      <c r="F76" s="2">
        <f>ステ計算型!$B$8</f>
        <v>10</v>
      </c>
      <c r="G76" s="2">
        <f>ステ計算型!$B$9</f>
        <v>82</v>
      </c>
      <c r="H76" s="7">
        <f t="shared" si="12"/>
        <v>347</v>
      </c>
      <c r="I76" s="5">
        <f>ステ計算型!$K$3</f>
        <v>7390</v>
      </c>
      <c r="J76" s="5">
        <f>ステ計算型!$N$3</f>
        <v>66</v>
      </c>
      <c r="K76" s="5">
        <v>77</v>
      </c>
      <c r="L76" s="7">
        <f t="shared" si="13"/>
        <v>270</v>
      </c>
      <c r="M76" s="7">
        <f t="shared" si="18"/>
        <v>27613</v>
      </c>
      <c r="N76" s="2">
        <v>1</v>
      </c>
      <c r="O76" s="7">
        <f t="shared" si="16"/>
        <v>0.24</v>
      </c>
      <c r="P76" s="7">
        <f t="shared" si="14"/>
        <v>0.24</v>
      </c>
      <c r="Q76" s="2">
        <f>ステ計算型!$I$29</f>
        <v>1</v>
      </c>
      <c r="R76" s="2">
        <f>ステ計算型!$E$33</f>
        <v>0.2</v>
      </c>
      <c r="S76" s="7">
        <f t="shared" si="15"/>
        <v>3.3239999999999998</v>
      </c>
      <c r="T76" s="2">
        <f>ステ計算型!$I$27</f>
        <v>1.1000000000000001</v>
      </c>
      <c r="U76" s="2">
        <f>ステ計算型!$J$29</f>
        <v>2</v>
      </c>
      <c r="V76" s="2">
        <f>ステ計算型!$F$32</f>
        <v>0.75</v>
      </c>
      <c r="W76" s="2">
        <f>ステ計算型!$G$34</f>
        <v>1</v>
      </c>
      <c r="X76" s="7">
        <f t="shared" si="11"/>
        <v>70973.804351999992</v>
      </c>
      <c r="Y76" s="7">
        <f t="shared" si="19"/>
        <v>400</v>
      </c>
      <c r="Z76" s="7">
        <f t="shared" si="20"/>
        <v>1</v>
      </c>
      <c r="AA76" s="38">
        <f>IF(L76&lt;ステ計算型!$A$20,0,1)</f>
        <v>0</v>
      </c>
      <c r="AB76" s="3">
        <f t="shared" si="21"/>
        <v>0</v>
      </c>
    </row>
    <row r="77" spans="1:28" ht="8.25" customHeight="1">
      <c r="A77" s="3">
        <f t="shared" si="17"/>
        <v>0</v>
      </c>
      <c r="B77" s="2">
        <f>ステ計算型!$B$2</f>
        <v>101</v>
      </c>
      <c r="C77" s="7">
        <f>VLOOKUP(B77,ポイント!$A$1:$D$43,4,FALSE)</f>
        <v>571</v>
      </c>
      <c r="D77" s="2">
        <f>ステ計算型!$B$4</f>
        <v>5</v>
      </c>
      <c r="E77" s="2">
        <f>ステ計算型!$B$6</f>
        <v>127</v>
      </c>
      <c r="F77" s="2">
        <f>ステ計算型!$B$8</f>
        <v>10</v>
      </c>
      <c r="G77" s="2">
        <f>ステ計算型!$B$9</f>
        <v>82</v>
      </c>
      <c r="H77" s="7">
        <f t="shared" si="12"/>
        <v>347</v>
      </c>
      <c r="I77" s="5">
        <f>ステ計算型!$K$3</f>
        <v>7390</v>
      </c>
      <c r="J77" s="5">
        <f>ステ計算型!$N$3</f>
        <v>66</v>
      </c>
      <c r="K77" s="5">
        <v>78</v>
      </c>
      <c r="L77" s="7">
        <f t="shared" si="13"/>
        <v>269</v>
      </c>
      <c r="M77" s="7">
        <f t="shared" si="18"/>
        <v>27538</v>
      </c>
      <c r="N77" s="2">
        <v>1</v>
      </c>
      <c r="O77" s="7">
        <f t="shared" si="16"/>
        <v>0.24</v>
      </c>
      <c r="P77" s="7">
        <f t="shared" si="14"/>
        <v>0.24</v>
      </c>
      <c r="Q77" s="2">
        <f>ステ計算型!$I$29</f>
        <v>1</v>
      </c>
      <c r="R77" s="2">
        <f>ステ計算型!$E$33</f>
        <v>0.2</v>
      </c>
      <c r="S77" s="7">
        <f t="shared" si="15"/>
        <v>3.3360000000000003</v>
      </c>
      <c r="T77" s="2">
        <f>ステ計算型!$I$27</f>
        <v>1.1000000000000001</v>
      </c>
      <c r="U77" s="2">
        <f>ステ計算型!$J$29</f>
        <v>2</v>
      </c>
      <c r="V77" s="2">
        <f>ステ計算型!$F$32</f>
        <v>0.75</v>
      </c>
      <c r="W77" s="2">
        <f>ステ計算型!$G$34</f>
        <v>1</v>
      </c>
      <c r="X77" s="7">
        <f t="shared" si="11"/>
        <v>70911.892128000007</v>
      </c>
      <c r="Y77" s="7">
        <f t="shared" si="19"/>
        <v>400</v>
      </c>
      <c r="Z77" s="7">
        <f t="shared" si="20"/>
        <v>1</v>
      </c>
      <c r="AA77" s="38">
        <f>IF(L77&lt;ステ計算型!$A$20,0,1)</f>
        <v>0</v>
      </c>
      <c r="AB77" s="3">
        <f t="shared" si="21"/>
        <v>0</v>
      </c>
    </row>
    <row r="78" spans="1:28" ht="8.25" customHeight="1">
      <c r="A78" s="3">
        <f t="shared" si="17"/>
        <v>0</v>
      </c>
      <c r="B78" s="2">
        <f>ステ計算型!$B$2</f>
        <v>101</v>
      </c>
      <c r="C78" s="7">
        <f>VLOOKUP(B78,ポイント!$A$1:$D$43,4,FALSE)</f>
        <v>571</v>
      </c>
      <c r="D78" s="2">
        <f>ステ計算型!$B$4</f>
        <v>5</v>
      </c>
      <c r="E78" s="2">
        <f>ステ計算型!$B$6</f>
        <v>127</v>
      </c>
      <c r="F78" s="2">
        <f>ステ計算型!$B$8</f>
        <v>10</v>
      </c>
      <c r="G78" s="2">
        <f>ステ計算型!$B$9</f>
        <v>82</v>
      </c>
      <c r="H78" s="7">
        <f t="shared" si="12"/>
        <v>347</v>
      </c>
      <c r="I78" s="5">
        <f>ステ計算型!$K$3</f>
        <v>7390</v>
      </c>
      <c r="J78" s="5">
        <f>ステ計算型!$N$3</f>
        <v>66</v>
      </c>
      <c r="K78" s="5">
        <v>79</v>
      </c>
      <c r="L78" s="7">
        <f t="shared" si="13"/>
        <v>268</v>
      </c>
      <c r="M78" s="7">
        <f t="shared" si="18"/>
        <v>27463</v>
      </c>
      <c r="N78" s="2">
        <v>1</v>
      </c>
      <c r="O78" s="7">
        <f t="shared" si="16"/>
        <v>0.24</v>
      </c>
      <c r="P78" s="7">
        <f t="shared" si="14"/>
        <v>0.24</v>
      </c>
      <c r="Q78" s="2">
        <f>ステ計算型!$I$29</f>
        <v>1</v>
      </c>
      <c r="R78" s="2">
        <f>ステ計算型!$E$33</f>
        <v>0.2</v>
      </c>
      <c r="S78" s="7">
        <f t="shared" si="15"/>
        <v>3.3479999999999999</v>
      </c>
      <c r="T78" s="2">
        <f>ステ計算型!$I$27</f>
        <v>1.1000000000000001</v>
      </c>
      <c r="U78" s="2">
        <f>ステ計算型!$J$29</f>
        <v>2</v>
      </c>
      <c r="V78" s="2">
        <f>ステ計算型!$F$32</f>
        <v>0.75</v>
      </c>
      <c r="W78" s="2">
        <f>ステ計算型!$G$34</f>
        <v>1</v>
      </c>
      <c r="X78" s="7">
        <f t="shared" si="11"/>
        <v>70849.267103999999</v>
      </c>
      <c r="Y78" s="7">
        <f t="shared" si="19"/>
        <v>400</v>
      </c>
      <c r="Z78" s="7">
        <f t="shared" si="20"/>
        <v>1</v>
      </c>
      <c r="AA78" s="38">
        <f>IF(L78&lt;ステ計算型!$A$20,0,1)</f>
        <v>0</v>
      </c>
      <c r="AB78" s="3">
        <f t="shared" si="21"/>
        <v>0</v>
      </c>
    </row>
    <row r="79" spans="1:28" ht="8.25" customHeight="1">
      <c r="A79" s="3">
        <f t="shared" si="17"/>
        <v>0</v>
      </c>
      <c r="B79" s="2">
        <f>ステ計算型!$B$2</f>
        <v>101</v>
      </c>
      <c r="C79" s="7">
        <f>VLOOKUP(B79,ポイント!$A$1:$D$43,4,FALSE)</f>
        <v>571</v>
      </c>
      <c r="D79" s="2">
        <f>ステ計算型!$B$4</f>
        <v>5</v>
      </c>
      <c r="E79" s="2">
        <f>ステ計算型!$B$6</f>
        <v>127</v>
      </c>
      <c r="F79" s="2">
        <f>ステ計算型!$B$8</f>
        <v>10</v>
      </c>
      <c r="G79" s="2">
        <f>ステ計算型!$B$9</f>
        <v>82</v>
      </c>
      <c r="H79" s="7">
        <f t="shared" si="12"/>
        <v>347</v>
      </c>
      <c r="I79" s="5">
        <f>ステ計算型!$K$3</f>
        <v>7390</v>
      </c>
      <c r="J79" s="5">
        <f>ステ計算型!$N$3</f>
        <v>66</v>
      </c>
      <c r="K79" s="5">
        <v>80</v>
      </c>
      <c r="L79" s="7">
        <f t="shared" si="13"/>
        <v>267</v>
      </c>
      <c r="M79" s="7">
        <f t="shared" si="18"/>
        <v>27388</v>
      </c>
      <c r="N79" s="2">
        <v>1</v>
      </c>
      <c r="O79" s="7">
        <f t="shared" si="16"/>
        <v>0.24</v>
      </c>
      <c r="P79" s="7">
        <f t="shared" si="14"/>
        <v>0.24</v>
      </c>
      <c r="Q79" s="2">
        <f>ステ計算型!$I$29</f>
        <v>1</v>
      </c>
      <c r="R79" s="2">
        <f>ステ計算型!$E$33</f>
        <v>0.2</v>
      </c>
      <c r="S79" s="7">
        <f t="shared" si="15"/>
        <v>3.36</v>
      </c>
      <c r="T79" s="2">
        <f>ステ計算型!$I$27</f>
        <v>1.1000000000000001</v>
      </c>
      <c r="U79" s="2">
        <f>ステ計算型!$J$29</f>
        <v>2</v>
      </c>
      <c r="V79" s="2">
        <f>ステ計算型!$F$32</f>
        <v>0.75</v>
      </c>
      <c r="W79" s="2">
        <f>ステ計算型!$G$34</f>
        <v>1</v>
      </c>
      <c r="X79" s="7">
        <f t="shared" si="11"/>
        <v>70785.929279999997</v>
      </c>
      <c r="Y79" s="7">
        <f t="shared" si="19"/>
        <v>400</v>
      </c>
      <c r="Z79" s="7">
        <f t="shared" si="20"/>
        <v>1</v>
      </c>
      <c r="AA79" s="38">
        <f>IF(L79&lt;ステ計算型!$A$20,0,1)</f>
        <v>0</v>
      </c>
      <c r="AB79" s="3">
        <f t="shared" si="21"/>
        <v>0</v>
      </c>
    </row>
    <row r="80" spans="1:28" ht="8.25" customHeight="1">
      <c r="A80" s="3">
        <f t="shared" si="17"/>
        <v>0</v>
      </c>
      <c r="B80" s="2">
        <f>ステ計算型!$B$2</f>
        <v>101</v>
      </c>
      <c r="C80" s="7">
        <f>VLOOKUP(B80,ポイント!$A$1:$D$43,4,FALSE)</f>
        <v>571</v>
      </c>
      <c r="D80" s="2">
        <f>ステ計算型!$B$4</f>
        <v>5</v>
      </c>
      <c r="E80" s="2">
        <f>ステ計算型!$B$6</f>
        <v>127</v>
      </c>
      <c r="F80" s="2">
        <f>ステ計算型!$B$8</f>
        <v>10</v>
      </c>
      <c r="G80" s="2">
        <f>ステ計算型!$B$9</f>
        <v>82</v>
      </c>
      <c r="H80" s="7">
        <f t="shared" si="12"/>
        <v>347</v>
      </c>
      <c r="I80" s="5">
        <f>ステ計算型!$K$3</f>
        <v>7390</v>
      </c>
      <c r="J80" s="5">
        <f>ステ計算型!$N$3</f>
        <v>66</v>
      </c>
      <c r="K80" s="5">
        <v>81</v>
      </c>
      <c r="L80" s="7">
        <f t="shared" si="13"/>
        <v>266</v>
      </c>
      <c r="M80" s="7">
        <f t="shared" si="18"/>
        <v>27313</v>
      </c>
      <c r="N80" s="2">
        <v>1</v>
      </c>
      <c r="O80" s="7">
        <f t="shared" si="16"/>
        <v>0.24</v>
      </c>
      <c r="P80" s="7">
        <f t="shared" si="14"/>
        <v>0.24</v>
      </c>
      <c r="Q80" s="2">
        <f>ステ計算型!$I$29</f>
        <v>1</v>
      </c>
      <c r="R80" s="2">
        <f>ステ計算型!$E$33</f>
        <v>0.2</v>
      </c>
      <c r="S80" s="7">
        <f t="shared" si="15"/>
        <v>3.3719999999999999</v>
      </c>
      <c r="T80" s="2">
        <f>ステ計算型!$I$27</f>
        <v>1.1000000000000001</v>
      </c>
      <c r="U80" s="2">
        <f>ステ計算型!$J$29</f>
        <v>2</v>
      </c>
      <c r="V80" s="2">
        <f>ステ計算型!$F$32</f>
        <v>0.75</v>
      </c>
      <c r="W80" s="2">
        <f>ステ計算型!$G$34</f>
        <v>1</v>
      </c>
      <c r="X80" s="7">
        <f t="shared" ref="X80:X143" si="22">M80*(P80*S80+1-P80)*T80*U80*V80*W80</f>
        <v>70721.878656000001</v>
      </c>
      <c r="Y80" s="7">
        <f t="shared" si="19"/>
        <v>400</v>
      </c>
      <c r="Z80" s="7">
        <f t="shared" si="20"/>
        <v>1</v>
      </c>
      <c r="AA80" s="38">
        <f>IF(L80&lt;ステ計算型!$A$20,0,1)</f>
        <v>0</v>
      </c>
      <c r="AB80" s="3">
        <f t="shared" si="21"/>
        <v>0</v>
      </c>
    </row>
    <row r="81" spans="1:28" ht="8.25" customHeight="1">
      <c r="A81" s="3">
        <f t="shared" si="17"/>
        <v>0</v>
      </c>
      <c r="B81" s="2">
        <f>ステ計算型!$B$2</f>
        <v>101</v>
      </c>
      <c r="C81" s="7">
        <f>VLOOKUP(B81,ポイント!$A$1:$D$43,4,FALSE)</f>
        <v>571</v>
      </c>
      <c r="D81" s="2">
        <f>ステ計算型!$B$4</f>
        <v>5</v>
      </c>
      <c r="E81" s="2">
        <f>ステ計算型!$B$6</f>
        <v>127</v>
      </c>
      <c r="F81" s="2">
        <f>ステ計算型!$B$8</f>
        <v>10</v>
      </c>
      <c r="G81" s="2">
        <f>ステ計算型!$B$9</f>
        <v>82</v>
      </c>
      <c r="H81" s="7">
        <f t="shared" ref="H81:H144" si="23">C81-D81-E81-F81-G81</f>
        <v>347</v>
      </c>
      <c r="I81" s="5">
        <f>ステ計算型!$K$3</f>
        <v>7390</v>
      </c>
      <c r="J81" s="5">
        <f>ステ計算型!$N$3</f>
        <v>66</v>
      </c>
      <c r="K81" s="5">
        <v>82</v>
      </c>
      <c r="L81" s="7">
        <f t="shared" ref="L81:L144" si="24">H81-K81</f>
        <v>265</v>
      </c>
      <c r="M81" s="7">
        <f t="shared" si="18"/>
        <v>27238</v>
      </c>
      <c r="N81" s="2">
        <v>1</v>
      </c>
      <c r="O81" s="7">
        <f t="shared" si="16"/>
        <v>0.25</v>
      </c>
      <c r="P81" s="7">
        <f t="shared" ref="P81:P144" si="25">IF(O81&gt;0.5,0.5,O81)</f>
        <v>0.25</v>
      </c>
      <c r="Q81" s="2">
        <f>ステ計算型!$I$29</f>
        <v>1</v>
      </c>
      <c r="R81" s="2">
        <f>ステ計算型!$E$33</f>
        <v>0.2</v>
      </c>
      <c r="S81" s="7">
        <f t="shared" ref="S81:S144" si="26">(K81/100+2)*Q81*(R81*2+1-R81)</f>
        <v>3.3839999999999999</v>
      </c>
      <c r="T81" s="2">
        <f>ステ計算型!$I$27</f>
        <v>1.1000000000000001</v>
      </c>
      <c r="U81" s="2">
        <f>ステ計算型!$J$29</f>
        <v>2</v>
      </c>
      <c r="V81" s="2">
        <f>ステ計算型!$F$32</f>
        <v>0.75</v>
      </c>
      <c r="W81" s="2">
        <f>ステ計算型!$G$34</f>
        <v>1</v>
      </c>
      <c r="X81" s="7">
        <f t="shared" si="22"/>
        <v>71728.549200000009</v>
      </c>
      <c r="Y81" s="7">
        <f t="shared" si="19"/>
        <v>400</v>
      </c>
      <c r="Z81" s="7">
        <f t="shared" si="20"/>
        <v>1</v>
      </c>
      <c r="AA81" s="38">
        <f>IF(L81&lt;ステ計算型!$A$20,0,1)</f>
        <v>0</v>
      </c>
      <c r="AB81" s="3">
        <f t="shared" si="21"/>
        <v>0</v>
      </c>
    </row>
    <row r="82" spans="1:28" ht="8.25" customHeight="1">
      <c r="A82" s="3">
        <f t="shared" si="17"/>
        <v>0</v>
      </c>
      <c r="B82" s="2">
        <f>ステ計算型!$B$2</f>
        <v>101</v>
      </c>
      <c r="C82" s="7">
        <f>VLOOKUP(B82,ポイント!$A$1:$D$43,4,FALSE)</f>
        <v>571</v>
      </c>
      <c r="D82" s="2">
        <f>ステ計算型!$B$4</f>
        <v>5</v>
      </c>
      <c r="E82" s="2">
        <f>ステ計算型!$B$6</f>
        <v>127</v>
      </c>
      <c r="F82" s="2">
        <f>ステ計算型!$B$8</f>
        <v>10</v>
      </c>
      <c r="G82" s="2">
        <f>ステ計算型!$B$9</f>
        <v>82</v>
      </c>
      <c r="H82" s="7">
        <f t="shared" si="23"/>
        <v>347</v>
      </c>
      <c r="I82" s="5">
        <f>ステ計算型!$K$3</f>
        <v>7390</v>
      </c>
      <c r="J82" s="5">
        <f>ステ計算型!$N$3</f>
        <v>66</v>
      </c>
      <c r="K82" s="5">
        <v>83</v>
      </c>
      <c r="L82" s="7">
        <f t="shared" si="24"/>
        <v>264</v>
      </c>
      <c r="M82" s="7">
        <f t="shared" si="18"/>
        <v>27163</v>
      </c>
      <c r="N82" s="2">
        <v>1</v>
      </c>
      <c r="O82" s="7">
        <f t="shared" si="16"/>
        <v>0.25</v>
      </c>
      <c r="P82" s="7">
        <f t="shared" si="25"/>
        <v>0.25</v>
      </c>
      <c r="Q82" s="2">
        <f>ステ計算型!$I$29</f>
        <v>1</v>
      </c>
      <c r="R82" s="2">
        <f>ステ計算型!$E$33</f>
        <v>0.2</v>
      </c>
      <c r="S82" s="7">
        <f t="shared" si="26"/>
        <v>3.3959999999999999</v>
      </c>
      <c r="T82" s="2">
        <f>ステ計算型!$I$27</f>
        <v>1.1000000000000001</v>
      </c>
      <c r="U82" s="2">
        <f>ステ計算型!$J$29</f>
        <v>2</v>
      </c>
      <c r="V82" s="2">
        <f>ステ計算型!$F$32</f>
        <v>0.75</v>
      </c>
      <c r="W82" s="2">
        <f>ステ計算型!$G$34</f>
        <v>1</v>
      </c>
      <c r="X82" s="7">
        <f t="shared" si="22"/>
        <v>71665.501050000006</v>
      </c>
      <c r="Y82" s="7">
        <f t="shared" si="19"/>
        <v>400</v>
      </c>
      <c r="Z82" s="7">
        <f t="shared" si="20"/>
        <v>1</v>
      </c>
      <c r="AA82" s="38">
        <f>IF(L82&lt;ステ計算型!$A$20,0,1)</f>
        <v>0</v>
      </c>
      <c r="AB82" s="3">
        <f t="shared" si="21"/>
        <v>0</v>
      </c>
    </row>
    <row r="83" spans="1:28" ht="8.25" customHeight="1">
      <c r="A83" s="3">
        <f t="shared" si="17"/>
        <v>0</v>
      </c>
      <c r="B83" s="2">
        <f>ステ計算型!$B$2</f>
        <v>101</v>
      </c>
      <c r="C83" s="7">
        <f>VLOOKUP(B83,ポイント!$A$1:$D$43,4,FALSE)</f>
        <v>571</v>
      </c>
      <c r="D83" s="2">
        <f>ステ計算型!$B$4</f>
        <v>5</v>
      </c>
      <c r="E83" s="2">
        <f>ステ計算型!$B$6</f>
        <v>127</v>
      </c>
      <c r="F83" s="2">
        <f>ステ計算型!$B$8</f>
        <v>10</v>
      </c>
      <c r="G83" s="2">
        <f>ステ計算型!$B$9</f>
        <v>82</v>
      </c>
      <c r="H83" s="7">
        <f t="shared" si="23"/>
        <v>347</v>
      </c>
      <c r="I83" s="5">
        <f>ステ計算型!$K$3</f>
        <v>7390</v>
      </c>
      <c r="J83" s="5">
        <f>ステ計算型!$N$3</f>
        <v>66</v>
      </c>
      <c r="K83" s="5">
        <v>84</v>
      </c>
      <c r="L83" s="7">
        <f t="shared" si="24"/>
        <v>263</v>
      </c>
      <c r="M83" s="7">
        <f t="shared" si="18"/>
        <v>27088</v>
      </c>
      <c r="N83" s="2">
        <v>1</v>
      </c>
      <c r="O83" s="7">
        <f t="shared" si="16"/>
        <v>0.25</v>
      </c>
      <c r="P83" s="7">
        <f t="shared" si="25"/>
        <v>0.25</v>
      </c>
      <c r="Q83" s="2">
        <f>ステ計算型!$I$29</f>
        <v>1</v>
      </c>
      <c r="R83" s="2">
        <f>ステ計算型!$E$33</f>
        <v>0.2</v>
      </c>
      <c r="S83" s="7">
        <f t="shared" si="26"/>
        <v>3.4079999999999999</v>
      </c>
      <c r="T83" s="2">
        <f>ステ計算型!$I$27</f>
        <v>1.1000000000000001</v>
      </c>
      <c r="U83" s="2">
        <f>ステ計算型!$J$29</f>
        <v>2</v>
      </c>
      <c r="V83" s="2">
        <f>ステ計算型!$F$32</f>
        <v>0.75</v>
      </c>
      <c r="W83" s="2">
        <f>ステ計算型!$G$34</f>
        <v>1</v>
      </c>
      <c r="X83" s="7">
        <f t="shared" si="22"/>
        <v>71601.710399999996</v>
      </c>
      <c r="Y83" s="7">
        <f t="shared" si="19"/>
        <v>400</v>
      </c>
      <c r="Z83" s="7">
        <f t="shared" si="20"/>
        <v>1</v>
      </c>
      <c r="AA83" s="38">
        <f>IF(L83&lt;ステ計算型!$A$20,0,1)</f>
        <v>0</v>
      </c>
      <c r="AB83" s="3">
        <f t="shared" si="21"/>
        <v>0</v>
      </c>
    </row>
    <row r="84" spans="1:28" ht="8.25" customHeight="1">
      <c r="A84" s="3">
        <f t="shared" si="17"/>
        <v>0</v>
      </c>
      <c r="B84" s="2">
        <f>ステ計算型!$B$2</f>
        <v>101</v>
      </c>
      <c r="C84" s="7">
        <f>VLOOKUP(B84,ポイント!$A$1:$D$43,4,FALSE)</f>
        <v>571</v>
      </c>
      <c r="D84" s="2">
        <f>ステ計算型!$B$4</f>
        <v>5</v>
      </c>
      <c r="E84" s="2">
        <f>ステ計算型!$B$6</f>
        <v>127</v>
      </c>
      <c r="F84" s="2">
        <f>ステ計算型!$B$8</f>
        <v>10</v>
      </c>
      <c r="G84" s="2">
        <f>ステ計算型!$B$9</f>
        <v>82</v>
      </c>
      <c r="H84" s="7">
        <f t="shared" si="23"/>
        <v>347</v>
      </c>
      <c r="I84" s="5">
        <f>ステ計算型!$K$3</f>
        <v>7390</v>
      </c>
      <c r="J84" s="5">
        <f>ステ計算型!$N$3</f>
        <v>66</v>
      </c>
      <c r="K84" s="5">
        <v>85</v>
      </c>
      <c r="L84" s="7">
        <f t="shared" si="24"/>
        <v>262</v>
      </c>
      <c r="M84" s="7">
        <f t="shared" si="18"/>
        <v>27013</v>
      </c>
      <c r="N84" s="2">
        <v>1</v>
      </c>
      <c r="O84" s="7">
        <f t="shared" si="16"/>
        <v>0.25</v>
      </c>
      <c r="P84" s="7">
        <f t="shared" si="25"/>
        <v>0.25</v>
      </c>
      <c r="Q84" s="2">
        <f>ステ計算型!$I$29</f>
        <v>1</v>
      </c>
      <c r="R84" s="2">
        <f>ステ計算型!$E$33</f>
        <v>0.2</v>
      </c>
      <c r="S84" s="7">
        <f t="shared" si="26"/>
        <v>3.42</v>
      </c>
      <c r="T84" s="2">
        <f>ステ計算型!$I$27</f>
        <v>1.1000000000000001</v>
      </c>
      <c r="U84" s="2">
        <f>ステ計算型!$J$29</f>
        <v>2</v>
      </c>
      <c r="V84" s="2">
        <f>ステ計算型!$F$32</f>
        <v>0.75</v>
      </c>
      <c r="W84" s="2">
        <f>ステ計算型!$G$34</f>
        <v>1</v>
      </c>
      <c r="X84" s="7">
        <f t="shared" si="22"/>
        <v>71537.177250000008</v>
      </c>
      <c r="Y84" s="7">
        <f t="shared" si="19"/>
        <v>400</v>
      </c>
      <c r="Z84" s="7">
        <f t="shared" si="20"/>
        <v>1</v>
      </c>
      <c r="AA84" s="38">
        <f>IF(L84&lt;ステ計算型!$A$20,0,1)</f>
        <v>0</v>
      </c>
      <c r="AB84" s="3">
        <f t="shared" si="21"/>
        <v>0</v>
      </c>
    </row>
    <row r="85" spans="1:28" ht="8.25" customHeight="1">
      <c r="A85" s="3">
        <f t="shared" si="17"/>
        <v>0</v>
      </c>
      <c r="B85" s="2">
        <f>ステ計算型!$B$2</f>
        <v>101</v>
      </c>
      <c r="C85" s="7">
        <f>VLOOKUP(B85,ポイント!$A$1:$D$43,4,FALSE)</f>
        <v>571</v>
      </c>
      <c r="D85" s="2">
        <f>ステ計算型!$B$4</f>
        <v>5</v>
      </c>
      <c r="E85" s="2">
        <f>ステ計算型!$B$6</f>
        <v>127</v>
      </c>
      <c r="F85" s="2">
        <f>ステ計算型!$B$8</f>
        <v>10</v>
      </c>
      <c r="G85" s="2">
        <f>ステ計算型!$B$9</f>
        <v>82</v>
      </c>
      <c r="H85" s="7">
        <f t="shared" si="23"/>
        <v>347</v>
      </c>
      <c r="I85" s="5">
        <f>ステ計算型!$K$3</f>
        <v>7390</v>
      </c>
      <c r="J85" s="5">
        <f>ステ計算型!$N$3</f>
        <v>66</v>
      </c>
      <c r="K85" s="5">
        <v>86</v>
      </c>
      <c r="L85" s="7">
        <f t="shared" si="24"/>
        <v>261</v>
      </c>
      <c r="M85" s="7">
        <f t="shared" si="18"/>
        <v>26938</v>
      </c>
      <c r="N85" s="2">
        <v>1</v>
      </c>
      <c r="O85" s="7">
        <f t="shared" si="16"/>
        <v>0.25</v>
      </c>
      <c r="P85" s="7">
        <f t="shared" si="25"/>
        <v>0.25</v>
      </c>
      <c r="Q85" s="2">
        <f>ステ計算型!$I$29</f>
        <v>1</v>
      </c>
      <c r="R85" s="2">
        <f>ステ計算型!$E$33</f>
        <v>0.2</v>
      </c>
      <c r="S85" s="7">
        <f t="shared" si="26"/>
        <v>3.4319999999999999</v>
      </c>
      <c r="T85" s="2">
        <f>ステ計算型!$I$27</f>
        <v>1.1000000000000001</v>
      </c>
      <c r="U85" s="2">
        <f>ステ計算型!$J$29</f>
        <v>2</v>
      </c>
      <c r="V85" s="2">
        <f>ステ計算型!$F$32</f>
        <v>0.75</v>
      </c>
      <c r="W85" s="2">
        <f>ステ計算型!$G$34</f>
        <v>1</v>
      </c>
      <c r="X85" s="7">
        <f t="shared" si="22"/>
        <v>71471.901600000012</v>
      </c>
      <c r="Y85" s="7">
        <f t="shared" si="19"/>
        <v>400</v>
      </c>
      <c r="Z85" s="7">
        <f t="shared" si="20"/>
        <v>1</v>
      </c>
      <c r="AA85" s="38">
        <f>IF(L85&lt;ステ計算型!$A$20,0,1)</f>
        <v>0</v>
      </c>
      <c r="AB85" s="3">
        <f t="shared" si="21"/>
        <v>0</v>
      </c>
    </row>
    <row r="86" spans="1:28" ht="8.25" customHeight="1">
      <c r="A86" s="3">
        <f t="shared" si="17"/>
        <v>0</v>
      </c>
      <c r="B86" s="2">
        <f>ステ計算型!$B$2</f>
        <v>101</v>
      </c>
      <c r="C86" s="7">
        <f>VLOOKUP(B86,ポイント!$A$1:$D$43,4,FALSE)</f>
        <v>571</v>
      </c>
      <c r="D86" s="2">
        <f>ステ計算型!$B$4</f>
        <v>5</v>
      </c>
      <c r="E86" s="2">
        <f>ステ計算型!$B$6</f>
        <v>127</v>
      </c>
      <c r="F86" s="2">
        <f>ステ計算型!$B$8</f>
        <v>10</v>
      </c>
      <c r="G86" s="2">
        <f>ステ計算型!$B$9</f>
        <v>82</v>
      </c>
      <c r="H86" s="7">
        <f t="shared" si="23"/>
        <v>347</v>
      </c>
      <c r="I86" s="5">
        <f>ステ計算型!$K$3</f>
        <v>7390</v>
      </c>
      <c r="J86" s="5">
        <f>ステ計算型!$N$3</f>
        <v>66</v>
      </c>
      <c r="K86" s="5">
        <v>87</v>
      </c>
      <c r="L86" s="7">
        <f t="shared" si="24"/>
        <v>260</v>
      </c>
      <c r="M86" s="7">
        <f t="shared" si="18"/>
        <v>26864</v>
      </c>
      <c r="N86" s="2">
        <v>1</v>
      </c>
      <c r="O86" s="7">
        <f t="shared" si="16"/>
        <v>0.25</v>
      </c>
      <c r="P86" s="7">
        <f t="shared" si="25"/>
        <v>0.25</v>
      </c>
      <c r="Q86" s="2">
        <f>ステ計算型!$I$29</f>
        <v>1</v>
      </c>
      <c r="R86" s="2">
        <f>ステ計算型!$E$33</f>
        <v>0.2</v>
      </c>
      <c r="S86" s="7">
        <f t="shared" si="26"/>
        <v>3.444</v>
      </c>
      <c r="T86" s="2">
        <f>ステ計算型!$I$27</f>
        <v>1.1000000000000001</v>
      </c>
      <c r="U86" s="2">
        <f>ステ計算型!$J$29</f>
        <v>2</v>
      </c>
      <c r="V86" s="2">
        <f>ステ計算型!$F$32</f>
        <v>0.75</v>
      </c>
      <c r="W86" s="2">
        <f>ステ計算型!$G$34</f>
        <v>1</v>
      </c>
      <c r="X86" s="7">
        <f t="shared" si="22"/>
        <v>71408.541600000011</v>
      </c>
      <c r="Y86" s="7">
        <f t="shared" si="19"/>
        <v>400</v>
      </c>
      <c r="Z86" s="7">
        <f t="shared" si="20"/>
        <v>1</v>
      </c>
      <c r="AA86" s="38">
        <f>IF(L86&lt;ステ計算型!$A$20,0,1)</f>
        <v>0</v>
      </c>
      <c r="AB86" s="3">
        <f t="shared" si="21"/>
        <v>0</v>
      </c>
    </row>
    <row r="87" spans="1:28" ht="8.25" customHeight="1">
      <c r="A87" s="3">
        <f t="shared" si="17"/>
        <v>0</v>
      </c>
      <c r="B87" s="2">
        <f>ステ計算型!$B$2</f>
        <v>101</v>
      </c>
      <c r="C87" s="7">
        <f>VLOOKUP(B87,ポイント!$A$1:$D$43,4,FALSE)</f>
        <v>571</v>
      </c>
      <c r="D87" s="2">
        <f>ステ計算型!$B$4</f>
        <v>5</v>
      </c>
      <c r="E87" s="2">
        <f>ステ計算型!$B$6</f>
        <v>127</v>
      </c>
      <c r="F87" s="2">
        <f>ステ計算型!$B$8</f>
        <v>10</v>
      </c>
      <c r="G87" s="2">
        <f>ステ計算型!$B$9</f>
        <v>82</v>
      </c>
      <c r="H87" s="7">
        <f t="shared" si="23"/>
        <v>347</v>
      </c>
      <c r="I87" s="5">
        <f>ステ計算型!$K$3</f>
        <v>7390</v>
      </c>
      <c r="J87" s="5">
        <f>ステ計算型!$N$3</f>
        <v>66</v>
      </c>
      <c r="K87" s="5">
        <v>88</v>
      </c>
      <c r="L87" s="7">
        <f t="shared" si="24"/>
        <v>259</v>
      </c>
      <c r="M87" s="7">
        <f t="shared" si="18"/>
        <v>26789</v>
      </c>
      <c r="N87" s="2">
        <v>1</v>
      </c>
      <c r="O87" s="7">
        <f t="shared" si="16"/>
        <v>0.25</v>
      </c>
      <c r="P87" s="7">
        <f t="shared" si="25"/>
        <v>0.25</v>
      </c>
      <c r="Q87" s="2">
        <f>ステ計算型!$I$29</f>
        <v>1</v>
      </c>
      <c r="R87" s="2">
        <f>ステ計算型!$E$33</f>
        <v>0.2</v>
      </c>
      <c r="S87" s="7">
        <f t="shared" si="26"/>
        <v>3.456</v>
      </c>
      <c r="T87" s="2">
        <f>ステ計算型!$I$27</f>
        <v>1.1000000000000001</v>
      </c>
      <c r="U87" s="2">
        <f>ステ計算型!$J$29</f>
        <v>2</v>
      </c>
      <c r="V87" s="2">
        <f>ステ計算型!$F$32</f>
        <v>0.75</v>
      </c>
      <c r="W87" s="2">
        <f>ステ計算型!$G$34</f>
        <v>1</v>
      </c>
      <c r="X87" s="7">
        <f t="shared" si="22"/>
        <v>71341.785900000003</v>
      </c>
      <c r="Y87" s="7">
        <f t="shared" si="19"/>
        <v>400</v>
      </c>
      <c r="Z87" s="7">
        <f t="shared" si="20"/>
        <v>1</v>
      </c>
      <c r="AA87" s="38">
        <f>IF(L87&lt;ステ計算型!$A$20,0,1)</f>
        <v>0</v>
      </c>
      <c r="AB87" s="3">
        <f t="shared" si="21"/>
        <v>0</v>
      </c>
    </row>
    <row r="88" spans="1:28" ht="8.25" customHeight="1">
      <c r="A88" s="3">
        <f t="shared" si="17"/>
        <v>0</v>
      </c>
      <c r="B88" s="2">
        <f>ステ計算型!$B$2</f>
        <v>101</v>
      </c>
      <c r="C88" s="7">
        <f>VLOOKUP(B88,ポイント!$A$1:$D$43,4,FALSE)</f>
        <v>571</v>
      </c>
      <c r="D88" s="2">
        <f>ステ計算型!$B$4</f>
        <v>5</v>
      </c>
      <c r="E88" s="2">
        <f>ステ計算型!$B$6</f>
        <v>127</v>
      </c>
      <c r="F88" s="2">
        <f>ステ計算型!$B$8</f>
        <v>10</v>
      </c>
      <c r="G88" s="2">
        <f>ステ計算型!$B$9</f>
        <v>82</v>
      </c>
      <c r="H88" s="7">
        <f t="shared" si="23"/>
        <v>347</v>
      </c>
      <c r="I88" s="5">
        <f>ステ計算型!$K$3</f>
        <v>7390</v>
      </c>
      <c r="J88" s="5">
        <f>ステ計算型!$N$3</f>
        <v>66</v>
      </c>
      <c r="K88" s="5">
        <v>89</v>
      </c>
      <c r="L88" s="7">
        <f t="shared" si="24"/>
        <v>258</v>
      </c>
      <c r="M88" s="7">
        <f t="shared" si="18"/>
        <v>26714</v>
      </c>
      <c r="N88" s="2">
        <v>1</v>
      </c>
      <c r="O88" s="7">
        <f t="shared" si="16"/>
        <v>0.25</v>
      </c>
      <c r="P88" s="7">
        <f t="shared" si="25"/>
        <v>0.25</v>
      </c>
      <c r="Q88" s="2">
        <f>ステ計算型!$I$29</f>
        <v>1</v>
      </c>
      <c r="R88" s="2">
        <f>ステ計算型!$E$33</f>
        <v>0.2</v>
      </c>
      <c r="S88" s="7">
        <f t="shared" si="26"/>
        <v>3.468</v>
      </c>
      <c r="T88" s="2">
        <f>ステ計算型!$I$27</f>
        <v>1.1000000000000001</v>
      </c>
      <c r="U88" s="2">
        <f>ステ計算型!$J$29</f>
        <v>2</v>
      </c>
      <c r="V88" s="2">
        <f>ステ計算型!$F$32</f>
        <v>0.75</v>
      </c>
      <c r="W88" s="2">
        <f>ステ計算型!$G$34</f>
        <v>1</v>
      </c>
      <c r="X88" s="7">
        <f t="shared" si="22"/>
        <v>71274.287700000015</v>
      </c>
      <c r="Y88" s="7">
        <f t="shared" si="19"/>
        <v>400</v>
      </c>
      <c r="Z88" s="7">
        <f t="shared" si="20"/>
        <v>1</v>
      </c>
      <c r="AA88" s="38">
        <f>IF(L88&lt;ステ計算型!$A$20,0,1)</f>
        <v>0</v>
      </c>
      <c r="AB88" s="3">
        <f t="shared" si="21"/>
        <v>0</v>
      </c>
    </row>
    <row r="89" spans="1:28" ht="8.25" customHeight="1">
      <c r="A89" s="3">
        <f t="shared" si="17"/>
        <v>0</v>
      </c>
      <c r="B89" s="2">
        <f>ステ計算型!$B$2</f>
        <v>101</v>
      </c>
      <c r="C89" s="7">
        <f>VLOOKUP(B89,ポイント!$A$1:$D$43,4,FALSE)</f>
        <v>571</v>
      </c>
      <c r="D89" s="2">
        <f>ステ計算型!$B$4</f>
        <v>5</v>
      </c>
      <c r="E89" s="2">
        <f>ステ計算型!$B$6</f>
        <v>127</v>
      </c>
      <c r="F89" s="2">
        <f>ステ計算型!$B$8</f>
        <v>10</v>
      </c>
      <c r="G89" s="2">
        <f>ステ計算型!$B$9</f>
        <v>82</v>
      </c>
      <c r="H89" s="7">
        <f t="shared" si="23"/>
        <v>347</v>
      </c>
      <c r="I89" s="5">
        <f>ステ計算型!$K$3</f>
        <v>7390</v>
      </c>
      <c r="J89" s="5">
        <f>ステ計算型!$N$3</f>
        <v>66</v>
      </c>
      <c r="K89" s="5">
        <v>90</v>
      </c>
      <c r="L89" s="7">
        <f t="shared" si="24"/>
        <v>257</v>
      </c>
      <c r="M89" s="7">
        <f t="shared" si="18"/>
        <v>26639</v>
      </c>
      <c r="N89" s="2">
        <v>1</v>
      </c>
      <c r="O89" s="7">
        <f t="shared" si="16"/>
        <v>0.26</v>
      </c>
      <c r="P89" s="7">
        <f t="shared" si="25"/>
        <v>0.26</v>
      </c>
      <c r="Q89" s="2">
        <f>ステ計算型!$I$29</f>
        <v>1</v>
      </c>
      <c r="R89" s="2">
        <f>ステ計算型!$E$33</f>
        <v>0.2</v>
      </c>
      <c r="S89" s="7">
        <f t="shared" si="26"/>
        <v>3.48</v>
      </c>
      <c r="T89" s="2">
        <f>ステ計算型!$I$27</f>
        <v>1.1000000000000001</v>
      </c>
      <c r="U89" s="2">
        <f>ステ計算型!$J$29</f>
        <v>2</v>
      </c>
      <c r="V89" s="2">
        <f>ステ計算型!$F$32</f>
        <v>0.75</v>
      </c>
      <c r="W89" s="2">
        <f>ステ計算型!$G$34</f>
        <v>1</v>
      </c>
      <c r="X89" s="7">
        <f t="shared" si="22"/>
        <v>72296.114880000008</v>
      </c>
      <c r="Y89" s="7">
        <f t="shared" si="19"/>
        <v>400</v>
      </c>
      <c r="Z89" s="7">
        <f t="shared" si="20"/>
        <v>1</v>
      </c>
      <c r="AA89" s="38">
        <f>IF(L89&lt;ステ計算型!$A$20,0,1)</f>
        <v>0</v>
      </c>
      <c r="AB89" s="3">
        <f t="shared" si="21"/>
        <v>0</v>
      </c>
    </row>
    <row r="90" spans="1:28" ht="8.25" customHeight="1">
      <c r="A90" s="3">
        <f t="shared" si="17"/>
        <v>0</v>
      </c>
      <c r="B90" s="2">
        <f>ステ計算型!$B$2</f>
        <v>101</v>
      </c>
      <c r="C90" s="7">
        <f>VLOOKUP(B90,ポイント!$A$1:$D$43,4,FALSE)</f>
        <v>571</v>
      </c>
      <c r="D90" s="2">
        <f>ステ計算型!$B$4</f>
        <v>5</v>
      </c>
      <c r="E90" s="2">
        <f>ステ計算型!$B$6</f>
        <v>127</v>
      </c>
      <c r="F90" s="2">
        <f>ステ計算型!$B$8</f>
        <v>10</v>
      </c>
      <c r="G90" s="2">
        <f>ステ計算型!$B$9</f>
        <v>82</v>
      </c>
      <c r="H90" s="7">
        <f t="shared" si="23"/>
        <v>347</v>
      </c>
      <c r="I90" s="5">
        <f>ステ計算型!$K$3</f>
        <v>7390</v>
      </c>
      <c r="J90" s="5">
        <f>ステ計算型!$N$3</f>
        <v>66</v>
      </c>
      <c r="K90" s="5">
        <v>91</v>
      </c>
      <c r="L90" s="7">
        <f t="shared" si="24"/>
        <v>256</v>
      </c>
      <c r="M90" s="7">
        <f t="shared" si="18"/>
        <v>26564</v>
      </c>
      <c r="N90" s="2">
        <v>1</v>
      </c>
      <c r="O90" s="7">
        <f t="shared" si="16"/>
        <v>0.26</v>
      </c>
      <c r="P90" s="7">
        <f t="shared" si="25"/>
        <v>0.26</v>
      </c>
      <c r="Q90" s="2">
        <f>ステ計算型!$I$29</f>
        <v>1</v>
      </c>
      <c r="R90" s="2">
        <f>ステ計算型!$E$33</f>
        <v>0.2</v>
      </c>
      <c r="S90" s="7">
        <f t="shared" si="26"/>
        <v>3.492</v>
      </c>
      <c r="T90" s="2">
        <f>ステ計算型!$I$27</f>
        <v>1.1000000000000001</v>
      </c>
      <c r="U90" s="2">
        <f>ステ計算型!$J$29</f>
        <v>2</v>
      </c>
      <c r="V90" s="2">
        <f>ステ計算型!$F$32</f>
        <v>0.75</v>
      </c>
      <c r="W90" s="2">
        <f>ステ計算型!$G$34</f>
        <v>1</v>
      </c>
      <c r="X90" s="7">
        <f t="shared" si="22"/>
        <v>72229.322352000017</v>
      </c>
      <c r="Y90" s="7">
        <f t="shared" si="19"/>
        <v>400</v>
      </c>
      <c r="Z90" s="7">
        <f t="shared" si="20"/>
        <v>1</v>
      </c>
      <c r="AA90" s="38">
        <f>IF(L90&lt;ステ計算型!$A$20,0,1)</f>
        <v>0</v>
      </c>
      <c r="AB90" s="3">
        <f t="shared" si="21"/>
        <v>0</v>
      </c>
    </row>
    <row r="91" spans="1:28" ht="8.25" customHeight="1">
      <c r="A91" s="3">
        <f t="shared" si="17"/>
        <v>0</v>
      </c>
      <c r="B91" s="2">
        <f>ステ計算型!$B$2</f>
        <v>101</v>
      </c>
      <c r="C91" s="7">
        <f>VLOOKUP(B91,ポイント!$A$1:$D$43,4,FALSE)</f>
        <v>571</v>
      </c>
      <c r="D91" s="2">
        <f>ステ計算型!$B$4</f>
        <v>5</v>
      </c>
      <c r="E91" s="2">
        <f>ステ計算型!$B$6</f>
        <v>127</v>
      </c>
      <c r="F91" s="2">
        <f>ステ計算型!$B$8</f>
        <v>10</v>
      </c>
      <c r="G91" s="2">
        <f>ステ計算型!$B$9</f>
        <v>82</v>
      </c>
      <c r="H91" s="7">
        <f t="shared" si="23"/>
        <v>347</v>
      </c>
      <c r="I91" s="5">
        <f>ステ計算型!$K$3</f>
        <v>7390</v>
      </c>
      <c r="J91" s="5">
        <f>ステ計算型!$N$3</f>
        <v>66</v>
      </c>
      <c r="K91" s="5">
        <v>92</v>
      </c>
      <c r="L91" s="7">
        <f t="shared" si="24"/>
        <v>255</v>
      </c>
      <c r="M91" s="7">
        <f t="shared" si="18"/>
        <v>26489</v>
      </c>
      <c r="N91" s="2">
        <v>1</v>
      </c>
      <c r="O91" s="7">
        <f t="shared" si="16"/>
        <v>0.26</v>
      </c>
      <c r="P91" s="7">
        <f t="shared" si="25"/>
        <v>0.26</v>
      </c>
      <c r="Q91" s="2">
        <f>ステ計算型!$I$29</f>
        <v>1</v>
      </c>
      <c r="R91" s="2">
        <f>ステ計算型!$E$33</f>
        <v>0.2</v>
      </c>
      <c r="S91" s="7">
        <f t="shared" si="26"/>
        <v>3.504</v>
      </c>
      <c r="T91" s="2">
        <f>ステ計算型!$I$27</f>
        <v>1.1000000000000001</v>
      </c>
      <c r="U91" s="2">
        <f>ステ計算型!$J$29</f>
        <v>2</v>
      </c>
      <c r="V91" s="2">
        <f>ステ計算型!$F$32</f>
        <v>0.75</v>
      </c>
      <c r="W91" s="2">
        <f>ステ計算型!$G$34</f>
        <v>1</v>
      </c>
      <c r="X91" s="7">
        <f t="shared" si="22"/>
        <v>72161.757624000005</v>
      </c>
      <c r="Y91" s="7">
        <f t="shared" si="19"/>
        <v>400</v>
      </c>
      <c r="Z91" s="7">
        <f t="shared" si="20"/>
        <v>1</v>
      </c>
      <c r="AA91" s="38">
        <f>IF(L91&lt;ステ計算型!$A$20,0,1)</f>
        <v>0</v>
      </c>
      <c r="AB91" s="3">
        <f t="shared" si="21"/>
        <v>0</v>
      </c>
    </row>
    <row r="92" spans="1:28" ht="8.25" customHeight="1">
      <c r="A92" s="3">
        <f t="shared" si="17"/>
        <v>0</v>
      </c>
      <c r="B92" s="2">
        <f>ステ計算型!$B$2</f>
        <v>101</v>
      </c>
      <c r="C92" s="7">
        <f>VLOOKUP(B92,ポイント!$A$1:$D$43,4,FALSE)</f>
        <v>571</v>
      </c>
      <c r="D92" s="2">
        <f>ステ計算型!$B$4</f>
        <v>5</v>
      </c>
      <c r="E92" s="2">
        <f>ステ計算型!$B$6</f>
        <v>127</v>
      </c>
      <c r="F92" s="2">
        <f>ステ計算型!$B$8</f>
        <v>10</v>
      </c>
      <c r="G92" s="2">
        <f>ステ計算型!$B$9</f>
        <v>82</v>
      </c>
      <c r="H92" s="7">
        <f t="shared" si="23"/>
        <v>347</v>
      </c>
      <c r="I92" s="5">
        <f>ステ計算型!$K$3</f>
        <v>7390</v>
      </c>
      <c r="J92" s="5">
        <f>ステ計算型!$N$3</f>
        <v>66</v>
      </c>
      <c r="K92" s="5">
        <v>93</v>
      </c>
      <c r="L92" s="7">
        <f t="shared" si="24"/>
        <v>254</v>
      </c>
      <c r="M92" s="7">
        <f t="shared" si="18"/>
        <v>26414</v>
      </c>
      <c r="N92" s="2">
        <v>1</v>
      </c>
      <c r="O92" s="7">
        <f t="shared" si="16"/>
        <v>0.26</v>
      </c>
      <c r="P92" s="7">
        <f t="shared" si="25"/>
        <v>0.26</v>
      </c>
      <c r="Q92" s="2">
        <f>ステ計算型!$I$29</f>
        <v>1</v>
      </c>
      <c r="R92" s="2">
        <f>ステ計算型!$E$33</f>
        <v>0.2</v>
      </c>
      <c r="S92" s="7">
        <f t="shared" si="26"/>
        <v>3.516</v>
      </c>
      <c r="T92" s="2">
        <f>ステ計算型!$I$27</f>
        <v>1.1000000000000001</v>
      </c>
      <c r="U92" s="2">
        <f>ステ計算型!$J$29</f>
        <v>2</v>
      </c>
      <c r="V92" s="2">
        <f>ステ計算型!$F$32</f>
        <v>0.75</v>
      </c>
      <c r="W92" s="2">
        <f>ステ計算型!$G$34</f>
        <v>1</v>
      </c>
      <c r="X92" s="7">
        <f t="shared" si="22"/>
        <v>72093.420696000016</v>
      </c>
      <c r="Y92" s="7">
        <f t="shared" si="19"/>
        <v>400</v>
      </c>
      <c r="Z92" s="7">
        <f t="shared" si="20"/>
        <v>1</v>
      </c>
      <c r="AA92" s="38">
        <f>IF(L92&lt;ステ計算型!$A$20,0,1)</f>
        <v>0</v>
      </c>
      <c r="AB92" s="3">
        <f t="shared" si="21"/>
        <v>0</v>
      </c>
    </row>
    <row r="93" spans="1:28" ht="8.25" customHeight="1">
      <c r="A93" s="3">
        <f t="shared" si="17"/>
        <v>0</v>
      </c>
      <c r="B93" s="2">
        <f>ステ計算型!$B$2</f>
        <v>101</v>
      </c>
      <c r="C93" s="7">
        <f>VLOOKUP(B93,ポイント!$A$1:$D$43,4,FALSE)</f>
        <v>571</v>
      </c>
      <c r="D93" s="2">
        <f>ステ計算型!$B$4</f>
        <v>5</v>
      </c>
      <c r="E93" s="2">
        <f>ステ計算型!$B$6</f>
        <v>127</v>
      </c>
      <c r="F93" s="2">
        <f>ステ計算型!$B$8</f>
        <v>10</v>
      </c>
      <c r="G93" s="2">
        <f>ステ計算型!$B$9</f>
        <v>82</v>
      </c>
      <c r="H93" s="7">
        <f t="shared" si="23"/>
        <v>347</v>
      </c>
      <c r="I93" s="5">
        <f>ステ計算型!$K$3</f>
        <v>7390</v>
      </c>
      <c r="J93" s="5">
        <f>ステ計算型!$N$3</f>
        <v>66</v>
      </c>
      <c r="K93" s="5">
        <v>94</v>
      </c>
      <c r="L93" s="7">
        <f t="shared" si="24"/>
        <v>253</v>
      </c>
      <c r="M93" s="7">
        <f t="shared" si="18"/>
        <v>26339</v>
      </c>
      <c r="N93" s="2">
        <v>1</v>
      </c>
      <c r="O93" s="7">
        <f t="shared" si="16"/>
        <v>0.26</v>
      </c>
      <c r="P93" s="7">
        <f t="shared" si="25"/>
        <v>0.26</v>
      </c>
      <c r="Q93" s="2">
        <f>ステ計算型!$I$29</f>
        <v>1</v>
      </c>
      <c r="R93" s="2">
        <f>ステ計算型!$E$33</f>
        <v>0.2</v>
      </c>
      <c r="S93" s="7">
        <f t="shared" si="26"/>
        <v>3.528</v>
      </c>
      <c r="T93" s="2">
        <f>ステ計算型!$I$27</f>
        <v>1.1000000000000001</v>
      </c>
      <c r="U93" s="2">
        <f>ステ計算型!$J$29</f>
        <v>2</v>
      </c>
      <c r="V93" s="2">
        <f>ステ計算型!$F$32</f>
        <v>0.75</v>
      </c>
      <c r="W93" s="2">
        <f>ステ計算型!$G$34</f>
        <v>1</v>
      </c>
      <c r="X93" s="7">
        <f t="shared" si="22"/>
        <v>72024.31156799999</v>
      </c>
      <c r="Y93" s="7">
        <f t="shared" si="19"/>
        <v>400</v>
      </c>
      <c r="Z93" s="7">
        <f t="shared" si="20"/>
        <v>1</v>
      </c>
      <c r="AA93" s="38">
        <f>IF(L93&lt;ステ計算型!$A$20,0,1)</f>
        <v>0</v>
      </c>
      <c r="AB93" s="3">
        <f t="shared" si="21"/>
        <v>0</v>
      </c>
    </row>
    <row r="94" spans="1:28" ht="8.25" customHeight="1">
      <c r="A94" s="3">
        <f t="shared" si="17"/>
        <v>0</v>
      </c>
      <c r="B94" s="2">
        <f>ステ計算型!$B$2</f>
        <v>101</v>
      </c>
      <c r="C94" s="7">
        <f>VLOOKUP(B94,ポイント!$A$1:$D$43,4,FALSE)</f>
        <v>571</v>
      </c>
      <c r="D94" s="2">
        <f>ステ計算型!$B$4</f>
        <v>5</v>
      </c>
      <c r="E94" s="2">
        <f>ステ計算型!$B$6</f>
        <v>127</v>
      </c>
      <c r="F94" s="2">
        <f>ステ計算型!$B$8</f>
        <v>10</v>
      </c>
      <c r="G94" s="2">
        <f>ステ計算型!$B$9</f>
        <v>82</v>
      </c>
      <c r="H94" s="7">
        <f t="shared" si="23"/>
        <v>347</v>
      </c>
      <c r="I94" s="5">
        <f>ステ計算型!$K$3</f>
        <v>7390</v>
      </c>
      <c r="J94" s="5">
        <f>ステ計算型!$N$3</f>
        <v>66</v>
      </c>
      <c r="K94" s="5">
        <v>95</v>
      </c>
      <c r="L94" s="7">
        <f t="shared" si="24"/>
        <v>252</v>
      </c>
      <c r="M94" s="7">
        <f t="shared" si="18"/>
        <v>26264</v>
      </c>
      <c r="N94" s="2">
        <v>1</v>
      </c>
      <c r="O94" s="7">
        <f t="shared" si="16"/>
        <v>0.26</v>
      </c>
      <c r="P94" s="7">
        <f t="shared" si="25"/>
        <v>0.26</v>
      </c>
      <c r="Q94" s="2">
        <f>ステ計算型!$I$29</f>
        <v>1</v>
      </c>
      <c r="R94" s="2">
        <f>ステ計算型!$E$33</f>
        <v>0.2</v>
      </c>
      <c r="S94" s="7">
        <f t="shared" si="26"/>
        <v>3.54</v>
      </c>
      <c r="T94" s="2">
        <f>ステ計算型!$I$27</f>
        <v>1.1000000000000001</v>
      </c>
      <c r="U94" s="2">
        <f>ステ計算型!$J$29</f>
        <v>2</v>
      </c>
      <c r="V94" s="2">
        <f>ステ計算型!$F$32</f>
        <v>0.75</v>
      </c>
      <c r="W94" s="2">
        <f>ステ計算型!$G$34</f>
        <v>1</v>
      </c>
      <c r="X94" s="7">
        <f t="shared" si="22"/>
        <v>71954.430240000002</v>
      </c>
      <c r="Y94" s="7">
        <f t="shared" si="19"/>
        <v>400</v>
      </c>
      <c r="Z94" s="7">
        <f t="shared" si="20"/>
        <v>1</v>
      </c>
      <c r="AA94" s="38">
        <f>IF(L94&lt;ステ計算型!$A$20,0,1)</f>
        <v>0</v>
      </c>
      <c r="AB94" s="3">
        <f t="shared" si="21"/>
        <v>0</v>
      </c>
    </row>
    <row r="95" spans="1:28" ht="8.25" customHeight="1">
      <c r="A95" s="3">
        <f t="shared" si="17"/>
        <v>0</v>
      </c>
      <c r="B95" s="2">
        <f>ステ計算型!$B$2</f>
        <v>101</v>
      </c>
      <c r="C95" s="7">
        <f>VLOOKUP(B95,ポイント!$A$1:$D$43,4,FALSE)</f>
        <v>571</v>
      </c>
      <c r="D95" s="2">
        <f>ステ計算型!$B$4</f>
        <v>5</v>
      </c>
      <c r="E95" s="2">
        <f>ステ計算型!$B$6</f>
        <v>127</v>
      </c>
      <c r="F95" s="2">
        <f>ステ計算型!$B$8</f>
        <v>10</v>
      </c>
      <c r="G95" s="2">
        <f>ステ計算型!$B$9</f>
        <v>82</v>
      </c>
      <c r="H95" s="7">
        <f t="shared" si="23"/>
        <v>347</v>
      </c>
      <c r="I95" s="5">
        <f>ステ計算型!$K$3</f>
        <v>7390</v>
      </c>
      <c r="J95" s="5">
        <f>ステ計算型!$N$3</f>
        <v>66</v>
      </c>
      <c r="K95" s="5">
        <v>96</v>
      </c>
      <c r="L95" s="7">
        <f t="shared" si="24"/>
        <v>251</v>
      </c>
      <c r="M95" s="7">
        <f t="shared" si="18"/>
        <v>26189</v>
      </c>
      <c r="N95" s="2">
        <v>1</v>
      </c>
      <c r="O95" s="7">
        <f t="shared" si="16"/>
        <v>0.26</v>
      </c>
      <c r="P95" s="7">
        <f t="shared" si="25"/>
        <v>0.26</v>
      </c>
      <c r="Q95" s="2">
        <f>ステ計算型!$I$29</f>
        <v>1</v>
      </c>
      <c r="R95" s="2">
        <f>ステ計算型!$E$33</f>
        <v>0.2</v>
      </c>
      <c r="S95" s="7">
        <f t="shared" si="26"/>
        <v>3.552</v>
      </c>
      <c r="T95" s="2">
        <f>ステ計算型!$I$27</f>
        <v>1.1000000000000001</v>
      </c>
      <c r="U95" s="2">
        <f>ステ計算型!$J$29</f>
        <v>2</v>
      </c>
      <c r="V95" s="2">
        <f>ステ計算型!$F$32</f>
        <v>0.75</v>
      </c>
      <c r="W95" s="2">
        <f>ステ計算型!$G$34</f>
        <v>1</v>
      </c>
      <c r="X95" s="7">
        <f t="shared" si="22"/>
        <v>71883.776711999992</v>
      </c>
      <c r="Y95" s="7">
        <f t="shared" si="19"/>
        <v>400</v>
      </c>
      <c r="Z95" s="7">
        <f t="shared" si="20"/>
        <v>1</v>
      </c>
      <c r="AA95" s="38">
        <f>IF(L95&lt;ステ計算型!$A$20,0,1)</f>
        <v>0</v>
      </c>
      <c r="AB95" s="3">
        <f t="shared" si="21"/>
        <v>0</v>
      </c>
    </row>
    <row r="96" spans="1:28" ht="8.25" customHeight="1">
      <c r="A96" s="3">
        <f t="shared" si="17"/>
        <v>0</v>
      </c>
      <c r="B96" s="2">
        <f>ステ計算型!$B$2</f>
        <v>101</v>
      </c>
      <c r="C96" s="7">
        <f>VLOOKUP(B96,ポイント!$A$1:$D$43,4,FALSE)</f>
        <v>571</v>
      </c>
      <c r="D96" s="2">
        <f>ステ計算型!$B$4</f>
        <v>5</v>
      </c>
      <c r="E96" s="2">
        <f>ステ計算型!$B$6</f>
        <v>127</v>
      </c>
      <c r="F96" s="2">
        <f>ステ計算型!$B$8</f>
        <v>10</v>
      </c>
      <c r="G96" s="2">
        <f>ステ計算型!$B$9</f>
        <v>82</v>
      </c>
      <c r="H96" s="7">
        <f t="shared" si="23"/>
        <v>347</v>
      </c>
      <c r="I96" s="5">
        <f>ステ計算型!$K$3</f>
        <v>7390</v>
      </c>
      <c r="J96" s="5">
        <f>ステ計算型!$N$3</f>
        <v>66</v>
      </c>
      <c r="K96" s="5">
        <v>97</v>
      </c>
      <c r="L96" s="7">
        <f t="shared" si="24"/>
        <v>250</v>
      </c>
      <c r="M96" s="7">
        <f t="shared" si="18"/>
        <v>26115</v>
      </c>
      <c r="N96" s="2">
        <v>1</v>
      </c>
      <c r="O96" s="7">
        <f t="shared" si="16"/>
        <v>0.27</v>
      </c>
      <c r="P96" s="7">
        <f t="shared" si="25"/>
        <v>0.27</v>
      </c>
      <c r="Q96" s="2">
        <f>ステ計算型!$I$29</f>
        <v>1</v>
      </c>
      <c r="R96" s="2">
        <f>ステ計算型!$E$33</f>
        <v>0.2</v>
      </c>
      <c r="S96" s="7">
        <f t="shared" si="26"/>
        <v>3.5639999999999996</v>
      </c>
      <c r="T96" s="2">
        <f>ステ計算型!$I$27</f>
        <v>1.1000000000000001</v>
      </c>
      <c r="U96" s="2">
        <f>ステ計算型!$J$29</f>
        <v>2</v>
      </c>
      <c r="V96" s="2">
        <f>ステ計算型!$F$32</f>
        <v>0.75</v>
      </c>
      <c r="W96" s="2">
        <f>ステ計算型!$G$34</f>
        <v>1</v>
      </c>
      <c r="X96" s="7">
        <f t="shared" si="22"/>
        <v>72919.922129999992</v>
      </c>
      <c r="Y96" s="7">
        <f t="shared" si="19"/>
        <v>400</v>
      </c>
      <c r="Z96" s="7">
        <f t="shared" si="20"/>
        <v>1</v>
      </c>
      <c r="AA96" s="38">
        <f>IF(L96&lt;ステ計算型!$A$20,0,1)</f>
        <v>0</v>
      </c>
      <c r="AB96" s="3">
        <f t="shared" si="21"/>
        <v>0</v>
      </c>
    </row>
    <row r="97" spans="1:28" ht="8.25" customHeight="1">
      <c r="A97" s="3">
        <f t="shared" si="17"/>
        <v>0</v>
      </c>
      <c r="B97" s="2">
        <f>ステ計算型!$B$2</f>
        <v>101</v>
      </c>
      <c r="C97" s="7">
        <f>VLOOKUP(B97,ポイント!$A$1:$D$43,4,FALSE)</f>
        <v>571</v>
      </c>
      <c r="D97" s="2">
        <f>ステ計算型!$B$4</f>
        <v>5</v>
      </c>
      <c r="E97" s="2">
        <f>ステ計算型!$B$6</f>
        <v>127</v>
      </c>
      <c r="F97" s="2">
        <f>ステ計算型!$B$8</f>
        <v>10</v>
      </c>
      <c r="G97" s="2">
        <f>ステ計算型!$B$9</f>
        <v>82</v>
      </c>
      <c r="H97" s="7">
        <f t="shared" si="23"/>
        <v>347</v>
      </c>
      <c r="I97" s="5">
        <f>ステ計算型!$K$3</f>
        <v>7390</v>
      </c>
      <c r="J97" s="5">
        <f>ステ計算型!$N$3</f>
        <v>66</v>
      </c>
      <c r="K97" s="5">
        <v>98</v>
      </c>
      <c r="L97" s="7">
        <f t="shared" si="24"/>
        <v>249</v>
      </c>
      <c r="M97" s="7">
        <f t="shared" si="18"/>
        <v>26040</v>
      </c>
      <c r="N97" s="2">
        <v>1</v>
      </c>
      <c r="O97" s="7">
        <f t="shared" si="16"/>
        <v>0.27</v>
      </c>
      <c r="P97" s="7">
        <f t="shared" si="25"/>
        <v>0.27</v>
      </c>
      <c r="Q97" s="2">
        <f>ステ計算型!$I$29</f>
        <v>1</v>
      </c>
      <c r="R97" s="2">
        <f>ステ計算型!$E$33</f>
        <v>0.2</v>
      </c>
      <c r="S97" s="7">
        <f t="shared" si="26"/>
        <v>3.5760000000000001</v>
      </c>
      <c r="T97" s="2">
        <f>ステ計算型!$I$27</f>
        <v>1.1000000000000001</v>
      </c>
      <c r="U97" s="2">
        <f>ステ計算型!$J$29</f>
        <v>2</v>
      </c>
      <c r="V97" s="2">
        <f>ステ計算型!$F$32</f>
        <v>0.75</v>
      </c>
      <c r="W97" s="2">
        <f>ステ計算型!$G$34</f>
        <v>1</v>
      </c>
      <c r="X97" s="7">
        <f t="shared" si="22"/>
        <v>72849.712320000021</v>
      </c>
      <c r="Y97" s="7">
        <f t="shared" si="19"/>
        <v>400</v>
      </c>
      <c r="Z97" s="7">
        <f t="shared" si="20"/>
        <v>1</v>
      </c>
      <c r="AA97" s="38">
        <f>IF(L97&lt;ステ計算型!$A$20,0,1)</f>
        <v>0</v>
      </c>
      <c r="AB97" s="3">
        <f t="shared" si="21"/>
        <v>0</v>
      </c>
    </row>
    <row r="98" spans="1:28" ht="8.25" customHeight="1">
      <c r="A98" s="3">
        <f t="shared" si="17"/>
        <v>0</v>
      </c>
      <c r="B98" s="2">
        <f>ステ計算型!$B$2</f>
        <v>101</v>
      </c>
      <c r="C98" s="7">
        <f>VLOOKUP(B98,ポイント!$A$1:$D$43,4,FALSE)</f>
        <v>571</v>
      </c>
      <c r="D98" s="2">
        <f>ステ計算型!$B$4</f>
        <v>5</v>
      </c>
      <c r="E98" s="2">
        <f>ステ計算型!$B$6</f>
        <v>127</v>
      </c>
      <c r="F98" s="2">
        <f>ステ計算型!$B$8</f>
        <v>10</v>
      </c>
      <c r="G98" s="2">
        <f>ステ計算型!$B$9</f>
        <v>82</v>
      </c>
      <c r="H98" s="7">
        <f t="shared" si="23"/>
        <v>347</v>
      </c>
      <c r="I98" s="5">
        <f>ステ計算型!$K$3</f>
        <v>7390</v>
      </c>
      <c r="J98" s="5">
        <f>ステ計算型!$N$3</f>
        <v>66</v>
      </c>
      <c r="K98" s="5">
        <v>99</v>
      </c>
      <c r="L98" s="7">
        <f t="shared" si="24"/>
        <v>248</v>
      </c>
      <c r="M98" s="7">
        <f t="shared" si="18"/>
        <v>25965</v>
      </c>
      <c r="N98" s="2">
        <v>1</v>
      </c>
      <c r="O98" s="7">
        <f t="shared" si="16"/>
        <v>0.27</v>
      </c>
      <c r="P98" s="7">
        <f t="shared" si="25"/>
        <v>0.27</v>
      </c>
      <c r="Q98" s="2">
        <f>ステ計算型!$I$29</f>
        <v>1</v>
      </c>
      <c r="R98" s="2">
        <f>ステ計算型!$E$33</f>
        <v>0.2</v>
      </c>
      <c r="S98" s="7">
        <f t="shared" si="26"/>
        <v>3.5880000000000001</v>
      </c>
      <c r="T98" s="2">
        <f>ステ計算型!$I$27</f>
        <v>1.1000000000000001</v>
      </c>
      <c r="U98" s="2">
        <f>ステ計算型!$J$29</f>
        <v>2</v>
      </c>
      <c r="V98" s="2">
        <f>ステ計算型!$F$32</f>
        <v>0.75</v>
      </c>
      <c r="W98" s="2">
        <f>ステ計算型!$G$34</f>
        <v>1</v>
      </c>
      <c r="X98" s="7">
        <f t="shared" si="22"/>
        <v>72778.700610000014</v>
      </c>
      <c r="Y98" s="7">
        <f t="shared" si="19"/>
        <v>400</v>
      </c>
      <c r="Z98" s="7">
        <f t="shared" si="20"/>
        <v>1</v>
      </c>
      <c r="AA98" s="38">
        <f>IF(L98&lt;ステ計算型!$A$20,0,1)</f>
        <v>0</v>
      </c>
      <c r="AB98" s="3">
        <f t="shared" si="21"/>
        <v>0</v>
      </c>
    </row>
    <row r="99" spans="1:28" ht="8.25" customHeight="1">
      <c r="A99" s="3">
        <f t="shared" si="17"/>
        <v>0</v>
      </c>
      <c r="B99" s="2">
        <f>ステ計算型!$B$2</f>
        <v>101</v>
      </c>
      <c r="C99" s="7">
        <f>VLOOKUP(B99,ポイント!$A$1:$D$43,4,FALSE)</f>
        <v>571</v>
      </c>
      <c r="D99" s="2">
        <f>ステ計算型!$B$4</f>
        <v>5</v>
      </c>
      <c r="E99" s="2">
        <f>ステ計算型!$B$6</f>
        <v>127</v>
      </c>
      <c r="F99" s="2">
        <f>ステ計算型!$B$8</f>
        <v>10</v>
      </c>
      <c r="G99" s="2">
        <f>ステ計算型!$B$9</f>
        <v>82</v>
      </c>
      <c r="H99" s="7">
        <f t="shared" si="23"/>
        <v>347</v>
      </c>
      <c r="I99" s="5">
        <f>ステ計算型!$K$3</f>
        <v>7390</v>
      </c>
      <c r="J99" s="5">
        <f>ステ計算型!$N$3</f>
        <v>66</v>
      </c>
      <c r="K99" s="5">
        <v>100</v>
      </c>
      <c r="L99" s="7">
        <f t="shared" si="24"/>
        <v>247</v>
      </c>
      <c r="M99" s="7">
        <f t="shared" si="18"/>
        <v>25890</v>
      </c>
      <c r="N99" s="2">
        <v>1</v>
      </c>
      <c r="O99" s="7">
        <f t="shared" si="16"/>
        <v>0.27</v>
      </c>
      <c r="P99" s="7">
        <f t="shared" si="25"/>
        <v>0.27</v>
      </c>
      <c r="Q99" s="2">
        <f>ステ計算型!$I$29</f>
        <v>1</v>
      </c>
      <c r="R99" s="2">
        <f>ステ計算型!$E$33</f>
        <v>0.2</v>
      </c>
      <c r="S99" s="7">
        <f t="shared" si="26"/>
        <v>3.5999999999999996</v>
      </c>
      <c r="T99" s="2">
        <f>ステ計算型!$I$27</f>
        <v>1.1000000000000001</v>
      </c>
      <c r="U99" s="2">
        <f>ステ計算型!$J$29</f>
        <v>2</v>
      </c>
      <c r="V99" s="2">
        <f>ステ計算型!$F$32</f>
        <v>0.75</v>
      </c>
      <c r="W99" s="2">
        <f>ステ計算型!$G$34</f>
        <v>1</v>
      </c>
      <c r="X99" s="7">
        <f t="shared" si="22"/>
        <v>72706.887000000002</v>
      </c>
      <c r="Y99" s="7">
        <f t="shared" si="19"/>
        <v>400</v>
      </c>
      <c r="Z99" s="7">
        <f t="shared" si="20"/>
        <v>1</v>
      </c>
      <c r="AA99" s="38">
        <f>IF(L99&lt;ステ計算型!$A$20,0,1)</f>
        <v>0</v>
      </c>
      <c r="AB99" s="3">
        <f t="shared" si="21"/>
        <v>0</v>
      </c>
    </row>
    <row r="100" spans="1:28" ht="8.25" customHeight="1">
      <c r="A100" s="3">
        <f t="shared" si="17"/>
        <v>0</v>
      </c>
      <c r="B100" s="2">
        <f>ステ計算型!$B$2</f>
        <v>101</v>
      </c>
      <c r="C100" s="7">
        <f>VLOOKUP(B100,ポイント!$A$1:$D$43,4,FALSE)</f>
        <v>571</v>
      </c>
      <c r="D100" s="2">
        <f>ステ計算型!$B$4</f>
        <v>5</v>
      </c>
      <c r="E100" s="2">
        <f>ステ計算型!$B$6</f>
        <v>127</v>
      </c>
      <c r="F100" s="2">
        <f>ステ計算型!$B$8</f>
        <v>10</v>
      </c>
      <c r="G100" s="2">
        <f>ステ計算型!$B$9</f>
        <v>82</v>
      </c>
      <c r="H100" s="7">
        <f t="shared" si="23"/>
        <v>347</v>
      </c>
      <c r="I100" s="5">
        <f>ステ計算型!$K$3</f>
        <v>7390</v>
      </c>
      <c r="J100" s="5">
        <f>ステ計算型!$N$3</f>
        <v>66</v>
      </c>
      <c r="K100" s="5">
        <v>101</v>
      </c>
      <c r="L100" s="7">
        <f t="shared" si="24"/>
        <v>246</v>
      </c>
      <c r="M100" s="7">
        <f t="shared" si="18"/>
        <v>25815</v>
      </c>
      <c r="N100" s="2">
        <v>1</v>
      </c>
      <c r="O100" s="7">
        <f t="shared" si="16"/>
        <v>0.27</v>
      </c>
      <c r="P100" s="7">
        <f t="shared" si="25"/>
        <v>0.27</v>
      </c>
      <c r="Q100" s="2">
        <f>ステ計算型!$I$29</f>
        <v>1</v>
      </c>
      <c r="R100" s="2">
        <f>ステ計算型!$E$33</f>
        <v>0.2</v>
      </c>
      <c r="S100" s="7">
        <f t="shared" si="26"/>
        <v>3.6119999999999997</v>
      </c>
      <c r="T100" s="2">
        <f>ステ計算型!$I$27</f>
        <v>1.1000000000000001</v>
      </c>
      <c r="U100" s="2">
        <f>ステ計算型!$J$29</f>
        <v>2</v>
      </c>
      <c r="V100" s="2">
        <f>ステ計算型!$F$32</f>
        <v>0.75</v>
      </c>
      <c r="W100" s="2">
        <f>ステ計算型!$G$34</f>
        <v>1</v>
      </c>
      <c r="X100" s="7">
        <f t="shared" si="22"/>
        <v>72634.271489999999</v>
      </c>
      <c r="Y100" s="7">
        <f t="shared" si="19"/>
        <v>400</v>
      </c>
      <c r="Z100" s="7">
        <f t="shared" si="20"/>
        <v>1</v>
      </c>
      <c r="AA100" s="38">
        <f>IF(L100&lt;ステ計算型!$A$20,0,1)</f>
        <v>0</v>
      </c>
      <c r="AB100" s="3">
        <f t="shared" si="21"/>
        <v>0</v>
      </c>
    </row>
    <row r="101" spans="1:28" ht="8.25" customHeight="1">
      <c r="A101" s="3">
        <f t="shared" si="17"/>
        <v>0</v>
      </c>
      <c r="B101" s="2">
        <f>ステ計算型!$B$2</f>
        <v>101</v>
      </c>
      <c r="C101" s="7">
        <f>VLOOKUP(B101,ポイント!$A$1:$D$43,4,FALSE)</f>
        <v>571</v>
      </c>
      <c r="D101" s="2">
        <f>ステ計算型!$B$4</f>
        <v>5</v>
      </c>
      <c r="E101" s="2">
        <f>ステ計算型!$B$6</f>
        <v>127</v>
      </c>
      <c r="F101" s="2">
        <f>ステ計算型!$B$8</f>
        <v>10</v>
      </c>
      <c r="G101" s="2">
        <f>ステ計算型!$B$9</f>
        <v>82</v>
      </c>
      <c r="H101" s="7">
        <f t="shared" si="23"/>
        <v>347</v>
      </c>
      <c r="I101" s="5">
        <f>ステ計算型!$K$3</f>
        <v>7390</v>
      </c>
      <c r="J101" s="5">
        <f>ステ計算型!$N$3</f>
        <v>66</v>
      </c>
      <c r="K101" s="5">
        <v>102</v>
      </c>
      <c r="L101" s="7">
        <f t="shared" si="24"/>
        <v>245</v>
      </c>
      <c r="M101" s="7">
        <f t="shared" si="18"/>
        <v>25740</v>
      </c>
      <c r="N101" s="2">
        <v>1</v>
      </c>
      <c r="O101" s="7">
        <f t="shared" si="16"/>
        <v>0.27</v>
      </c>
      <c r="P101" s="7">
        <f t="shared" si="25"/>
        <v>0.27</v>
      </c>
      <c r="Q101" s="2">
        <f>ステ計算型!$I$29</f>
        <v>1</v>
      </c>
      <c r="R101" s="2">
        <f>ステ計算型!$E$33</f>
        <v>0.2</v>
      </c>
      <c r="S101" s="7">
        <f t="shared" si="26"/>
        <v>3.6239999999999997</v>
      </c>
      <c r="T101" s="2">
        <f>ステ計算型!$I$27</f>
        <v>1.1000000000000001</v>
      </c>
      <c r="U101" s="2">
        <f>ステ計算型!$J$29</f>
        <v>2</v>
      </c>
      <c r="V101" s="2">
        <f>ステ計算型!$F$32</f>
        <v>0.75</v>
      </c>
      <c r="W101" s="2">
        <f>ステ計算型!$G$34</f>
        <v>1</v>
      </c>
      <c r="X101" s="7">
        <f t="shared" si="22"/>
        <v>72560.85407999999</v>
      </c>
      <c r="Y101" s="7">
        <f t="shared" si="19"/>
        <v>400</v>
      </c>
      <c r="Z101" s="7">
        <f t="shared" si="20"/>
        <v>1</v>
      </c>
      <c r="AA101" s="38">
        <f>IF(L101&lt;ステ計算型!$A$20,0,1)</f>
        <v>0</v>
      </c>
      <c r="AB101" s="3">
        <f t="shared" si="21"/>
        <v>0</v>
      </c>
    </row>
    <row r="102" spans="1:28" ht="8.25" customHeight="1">
      <c r="A102" s="3">
        <f t="shared" si="17"/>
        <v>0</v>
      </c>
      <c r="B102" s="2">
        <f>ステ計算型!$B$2</f>
        <v>101</v>
      </c>
      <c r="C102" s="7">
        <f>VLOOKUP(B102,ポイント!$A$1:$D$43,4,FALSE)</f>
        <v>571</v>
      </c>
      <c r="D102" s="2">
        <f>ステ計算型!$B$4</f>
        <v>5</v>
      </c>
      <c r="E102" s="2">
        <f>ステ計算型!$B$6</f>
        <v>127</v>
      </c>
      <c r="F102" s="2">
        <f>ステ計算型!$B$8</f>
        <v>10</v>
      </c>
      <c r="G102" s="2">
        <f>ステ計算型!$B$9</f>
        <v>82</v>
      </c>
      <c r="H102" s="7">
        <f t="shared" si="23"/>
        <v>347</v>
      </c>
      <c r="I102" s="5">
        <f>ステ計算型!$K$3</f>
        <v>7390</v>
      </c>
      <c r="J102" s="5">
        <f>ステ計算型!$N$3</f>
        <v>66</v>
      </c>
      <c r="K102" s="5">
        <v>103</v>
      </c>
      <c r="L102" s="7">
        <f t="shared" si="24"/>
        <v>244</v>
      </c>
      <c r="M102" s="7">
        <f t="shared" si="18"/>
        <v>25665</v>
      </c>
      <c r="N102" s="2">
        <v>1</v>
      </c>
      <c r="O102" s="7">
        <f t="shared" si="16"/>
        <v>0.27</v>
      </c>
      <c r="P102" s="7">
        <f t="shared" si="25"/>
        <v>0.27</v>
      </c>
      <c r="Q102" s="2">
        <f>ステ計算型!$I$29</f>
        <v>1</v>
      </c>
      <c r="R102" s="2">
        <f>ステ計算型!$E$33</f>
        <v>0.2</v>
      </c>
      <c r="S102" s="7">
        <f t="shared" si="26"/>
        <v>3.6360000000000001</v>
      </c>
      <c r="T102" s="2">
        <f>ステ計算型!$I$27</f>
        <v>1.1000000000000001</v>
      </c>
      <c r="U102" s="2">
        <f>ステ計算型!$J$29</f>
        <v>2</v>
      </c>
      <c r="V102" s="2">
        <f>ステ計算型!$F$32</f>
        <v>0.75</v>
      </c>
      <c r="W102" s="2">
        <f>ステ計算型!$G$34</f>
        <v>1</v>
      </c>
      <c r="X102" s="7">
        <f t="shared" si="22"/>
        <v>72486.634770000019</v>
      </c>
      <c r="Y102" s="7">
        <f t="shared" si="19"/>
        <v>400</v>
      </c>
      <c r="Z102" s="7">
        <f t="shared" si="20"/>
        <v>1</v>
      </c>
      <c r="AA102" s="38">
        <f>IF(L102&lt;ステ計算型!$A$20,0,1)</f>
        <v>0</v>
      </c>
      <c r="AB102" s="3">
        <f t="shared" si="21"/>
        <v>0</v>
      </c>
    </row>
    <row r="103" spans="1:28" ht="8.25" customHeight="1">
      <c r="A103" s="3">
        <f t="shared" si="17"/>
        <v>0</v>
      </c>
      <c r="B103" s="2">
        <f>ステ計算型!$B$2</f>
        <v>101</v>
      </c>
      <c r="C103" s="7">
        <f>VLOOKUP(B103,ポイント!$A$1:$D$43,4,FALSE)</f>
        <v>571</v>
      </c>
      <c r="D103" s="2">
        <f>ステ計算型!$B$4</f>
        <v>5</v>
      </c>
      <c r="E103" s="2">
        <f>ステ計算型!$B$6</f>
        <v>127</v>
      </c>
      <c r="F103" s="2">
        <f>ステ計算型!$B$8</f>
        <v>10</v>
      </c>
      <c r="G103" s="2">
        <f>ステ計算型!$B$9</f>
        <v>82</v>
      </c>
      <c r="H103" s="7">
        <f t="shared" si="23"/>
        <v>347</v>
      </c>
      <c r="I103" s="5">
        <f>ステ計算型!$K$3</f>
        <v>7390</v>
      </c>
      <c r="J103" s="5">
        <f>ステ計算型!$N$3</f>
        <v>66</v>
      </c>
      <c r="K103" s="5">
        <v>104</v>
      </c>
      <c r="L103" s="7">
        <f t="shared" si="24"/>
        <v>243</v>
      </c>
      <c r="M103" s="7">
        <f t="shared" si="18"/>
        <v>25590</v>
      </c>
      <c r="N103" s="2">
        <v>1</v>
      </c>
      <c r="O103" s="7">
        <f t="shared" si="16"/>
        <v>0.27</v>
      </c>
      <c r="P103" s="7">
        <f t="shared" si="25"/>
        <v>0.27</v>
      </c>
      <c r="Q103" s="2">
        <f>ステ計算型!$I$29</f>
        <v>1</v>
      </c>
      <c r="R103" s="2">
        <f>ステ計算型!$E$33</f>
        <v>0.2</v>
      </c>
      <c r="S103" s="7">
        <f t="shared" si="26"/>
        <v>3.6479999999999997</v>
      </c>
      <c r="T103" s="2">
        <f>ステ計算型!$I$27</f>
        <v>1.1000000000000001</v>
      </c>
      <c r="U103" s="2">
        <f>ステ計算型!$J$29</f>
        <v>2</v>
      </c>
      <c r="V103" s="2">
        <f>ステ計算型!$F$32</f>
        <v>0.75</v>
      </c>
      <c r="W103" s="2">
        <f>ステ計算型!$G$34</f>
        <v>1</v>
      </c>
      <c r="X103" s="7">
        <f t="shared" si="22"/>
        <v>72411.613559999998</v>
      </c>
      <c r="Y103" s="7">
        <f t="shared" si="19"/>
        <v>400</v>
      </c>
      <c r="Z103" s="7">
        <f t="shared" si="20"/>
        <v>1</v>
      </c>
      <c r="AA103" s="38">
        <f>IF(L103&lt;ステ計算型!$A$20,0,1)</f>
        <v>0</v>
      </c>
      <c r="AB103" s="3">
        <f t="shared" si="21"/>
        <v>0</v>
      </c>
    </row>
    <row r="104" spans="1:28" ht="8.25" customHeight="1">
      <c r="A104" s="3">
        <f t="shared" si="17"/>
        <v>0</v>
      </c>
      <c r="B104" s="2">
        <f>ステ計算型!$B$2</f>
        <v>101</v>
      </c>
      <c r="C104" s="7">
        <f>VLOOKUP(B104,ポイント!$A$1:$D$43,4,FALSE)</f>
        <v>571</v>
      </c>
      <c r="D104" s="2">
        <f>ステ計算型!$B$4</f>
        <v>5</v>
      </c>
      <c r="E104" s="2">
        <f>ステ計算型!$B$6</f>
        <v>127</v>
      </c>
      <c r="F104" s="2">
        <f>ステ計算型!$B$8</f>
        <v>10</v>
      </c>
      <c r="G104" s="2">
        <f>ステ計算型!$B$9</f>
        <v>82</v>
      </c>
      <c r="H104" s="7">
        <f t="shared" si="23"/>
        <v>347</v>
      </c>
      <c r="I104" s="5">
        <f>ステ計算型!$K$3</f>
        <v>7390</v>
      </c>
      <c r="J104" s="5">
        <f>ステ計算型!$N$3</f>
        <v>66</v>
      </c>
      <c r="K104" s="5">
        <v>105</v>
      </c>
      <c r="L104" s="7">
        <f t="shared" si="24"/>
        <v>242</v>
      </c>
      <c r="M104" s="7">
        <f t="shared" si="18"/>
        <v>25515</v>
      </c>
      <c r="N104" s="2">
        <v>1</v>
      </c>
      <c r="O104" s="7">
        <f t="shared" si="16"/>
        <v>0.28000000000000003</v>
      </c>
      <c r="P104" s="7">
        <f t="shared" si="25"/>
        <v>0.28000000000000003</v>
      </c>
      <c r="Q104" s="2">
        <f>ステ計算型!$I$29</f>
        <v>1</v>
      </c>
      <c r="R104" s="2">
        <f>ステ計算型!$E$33</f>
        <v>0.2</v>
      </c>
      <c r="S104" s="7">
        <f t="shared" si="26"/>
        <v>3.6599999999999997</v>
      </c>
      <c r="T104" s="2">
        <f>ステ計算型!$I$27</f>
        <v>1.1000000000000001</v>
      </c>
      <c r="U104" s="2">
        <f>ステ計算型!$J$29</f>
        <v>2</v>
      </c>
      <c r="V104" s="2">
        <f>ステ計算型!$F$32</f>
        <v>0.75</v>
      </c>
      <c r="W104" s="2">
        <f>ステ計算型!$G$34</f>
        <v>1</v>
      </c>
      <c r="X104" s="7">
        <f t="shared" si="22"/>
        <v>73455.643800000005</v>
      </c>
      <c r="Y104" s="7">
        <f t="shared" si="19"/>
        <v>400</v>
      </c>
      <c r="Z104" s="7">
        <f t="shared" si="20"/>
        <v>1</v>
      </c>
      <c r="AA104" s="38">
        <f>IF(L104&lt;ステ計算型!$A$20,0,1)</f>
        <v>0</v>
      </c>
      <c r="AB104" s="3">
        <f t="shared" si="21"/>
        <v>0</v>
      </c>
    </row>
    <row r="105" spans="1:28" ht="8.25" customHeight="1">
      <c r="A105" s="3">
        <f t="shared" si="17"/>
        <v>0</v>
      </c>
      <c r="B105" s="2">
        <f>ステ計算型!$B$2</f>
        <v>101</v>
      </c>
      <c r="C105" s="7">
        <f>VLOOKUP(B105,ポイント!$A$1:$D$43,4,FALSE)</f>
        <v>571</v>
      </c>
      <c r="D105" s="2">
        <f>ステ計算型!$B$4</f>
        <v>5</v>
      </c>
      <c r="E105" s="2">
        <f>ステ計算型!$B$6</f>
        <v>127</v>
      </c>
      <c r="F105" s="2">
        <f>ステ計算型!$B$8</f>
        <v>10</v>
      </c>
      <c r="G105" s="2">
        <f>ステ計算型!$B$9</f>
        <v>82</v>
      </c>
      <c r="H105" s="7">
        <f t="shared" si="23"/>
        <v>347</v>
      </c>
      <c r="I105" s="5">
        <f>ステ計算型!$K$3</f>
        <v>7390</v>
      </c>
      <c r="J105" s="5">
        <f>ステ計算型!$N$3</f>
        <v>66</v>
      </c>
      <c r="K105" s="5">
        <v>106</v>
      </c>
      <c r="L105" s="7">
        <f t="shared" si="24"/>
        <v>241</v>
      </c>
      <c r="M105" s="7">
        <f t="shared" si="18"/>
        <v>25440</v>
      </c>
      <c r="N105" s="2">
        <v>1</v>
      </c>
      <c r="O105" s="7">
        <f t="shared" si="16"/>
        <v>0.28000000000000003</v>
      </c>
      <c r="P105" s="7">
        <f t="shared" si="25"/>
        <v>0.28000000000000003</v>
      </c>
      <c r="Q105" s="2">
        <f>ステ計算型!$I$29</f>
        <v>1</v>
      </c>
      <c r="R105" s="2">
        <f>ステ計算型!$E$33</f>
        <v>0.2</v>
      </c>
      <c r="S105" s="7">
        <f t="shared" si="26"/>
        <v>3.6719999999999997</v>
      </c>
      <c r="T105" s="2">
        <f>ステ計算型!$I$27</f>
        <v>1.1000000000000001</v>
      </c>
      <c r="U105" s="2">
        <f>ステ計算型!$J$29</f>
        <v>2</v>
      </c>
      <c r="V105" s="2">
        <f>ステ計算型!$F$32</f>
        <v>0.75</v>
      </c>
      <c r="W105" s="2">
        <f>ステ計算型!$G$34</f>
        <v>1</v>
      </c>
      <c r="X105" s="7">
        <f t="shared" si="22"/>
        <v>73380.764159999992</v>
      </c>
      <c r="Y105" s="7">
        <f t="shared" si="19"/>
        <v>400</v>
      </c>
      <c r="Z105" s="7">
        <f t="shared" si="20"/>
        <v>1</v>
      </c>
      <c r="AA105" s="38">
        <f>IF(L105&lt;ステ計算型!$A$20,0,1)</f>
        <v>0</v>
      </c>
      <c r="AB105" s="3">
        <f t="shared" si="21"/>
        <v>0</v>
      </c>
    </row>
    <row r="106" spans="1:28" ht="8.25" customHeight="1">
      <c r="A106" s="3">
        <f t="shared" si="17"/>
        <v>0</v>
      </c>
      <c r="B106" s="2">
        <f>ステ計算型!$B$2</f>
        <v>101</v>
      </c>
      <c r="C106" s="7">
        <f>VLOOKUP(B106,ポイント!$A$1:$D$43,4,FALSE)</f>
        <v>571</v>
      </c>
      <c r="D106" s="2">
        <f>ステ計算型!$B$4</f>
        <v>5</v>
      </c>
      <c r="E106" s="2">
        <f>ステ計算型!$B$6</f>
        <v>127</v>
      </c>
      <c r="F106" s="2">
        <f>ステ計算型!$B$8</f>
        <v>10</v>
      </c>
      <c r="G106" s="2">
        <f>ステ計算型!$B$9</f>
        <v>82</v>
      </c>
      <c r="H106" s="7">
        <f t="shared" si="23"/>
        <v>347</v>
      </c>
      <c r="I106" s="5">
        <f>ステ計算型!$K$3</f>
        <v>7390</v>
      </c>
      <c r="J106" s="5">
        <f>ステ計算型!$N$3</f>
        <v>66</v>
      </c>
      <c r="K106" s="5">
        <v>107</v>
      </c>
      <c r="L106" s="7">
        <f t="shared" si="24"/>
        <v>240</v>
      </c>
      <c r="M106" s="7">
        <f t="shared" si="18"/>
        <v>25366</v>
      </c>
      <c r="N106" s="2">
        <v>1</v>
      </c>
      <c r="O106" s="7">
        <f t="shared" si="16"/>
        <v>0.28000000000000003</v>
      </c>
      <c r="P106" s="7">
        <f t="shared" si="25"/>
        <v>0.28000000000000003</v>
      </c>
      <c r="Q106" s="2">
        <f>ステ計算型!$I$29</f>
        <v>1</v>
      </c>
      <c r="R106" s="2">
        <f>ステ計算型!$E$33</f>
        <v>0.2</v>
      </c>
      <c r="S106" s="7">
        <f t="shared" si="26"/>
        <v>3.6840000000000002</v>
      </c>
      <c r="T106" s="2">
        <f>ステ計算型!$I$27</f>
        <v>1.1000000000000001</v>
      </c>
      <c r="U106" s="2">
        <f>ステ計算型!$J$29</f>
        <v>2</v>
      </c>
      <c r="V106" s="2">
        <f>ステ計算型!$F$32</f>
        <v>0.75</v>
      </c>
      <c r="W106" s="2">
        <f>ステ計算型!$G$34</f>
        <v>1</v>
      </c>
      <c r="X106" s="7">
        <f t="shared" si="22"/>
        <v>73307.942928000019</v>
      </c>
      <c r="Y106" s="7">
        <f t="shared" si="19"/>
        <v>400</v>
      </c>
      <c r="Z106" s="7">
        <f t="shared" si="20"/>
        <v>1</v>
      </c>
      <c r="AA106" s="38">
        <f>IF(L106&lt;ステ計算型!$A$20,0,1)</f>
        <v>0</v>
      </c>
      <c r="AB106" s="3">
        <f t="shared" si="21"/>
        <v>0</v>
      </c>
    </row>
    <row r="107" spans="1:28" ht="8.25" customHeight="1">
      <c r="A107" s="3">
        <f t="shared" si="17"/>
        <v>0</v>
      </c>
      <c r="B107" s="2">
        <f>ステ計算型!$B$2</f>
        <v>101</v>
      </c>
      <c r="C107" s="7">
        <f>VLOOKUP(B107,ポイント!$A$1:$D$43,4,FALSE)</f>
        <v>571</v>
      </c>
      <c r="D107" s="2">
        <f>ステ計算型!$B$4</f>
        <v>5</v>
      </c>
      <c r="E107" s="2">
        <f>ステ計算型!$B$6</f>
        <v>127</v>
      </c>
      <c r="F107" s="2">
        <f>ステ計算型!$B$8</f>
        <v>10</v>
      </c>
      <c r="G107" s="2">
        <f>ステ計算型!$B$9</f>
        <v>82</v>
      </c>
      <c r="H107" s="7">
        <f t="shared" si="23"/>
        <v>347</v>
      </c>
      <c r="I107" s="5">
        <f>ステ計算型!$K$3</f>
        <v>7390</v>
      </c>
      <c r="J107" s="5">
        <f>ステ計算型!$N$3</f>
        <v>66</v>
      </c>
      <c r="K107" s="5">
        <v>108</v>
      </c>
      <c r="L107" s="7">
        <f t="shared" si="24"/>
        <v>239</v>
      </c>
      <c r="M107" s="7">
        <f t="shared" si="18"/>
        <v>25291</v>
      </c>
      <c r="N107" s="2">
        <v>1</v>
      </c>
      <c r="O107" s="7">
        <f t="shared" si="16"/>
        <v>0.28000000000000003</v>
      </c>
      <c r="P107" s="7">
        <f t="shared" si="25"/>
        <v>0.28000000000000003</v>
      </c>
      <c r="Q107" s="2">
        <f>ステ計算型!$I$29</f>
        <v>1</v>
      </c>
      <c r="R107" s="2">
        <f>ステ計算型!$E$33</f>
        <v>0.2</v>
      </c>
      <c r="S107" s="7">
        <f t="shared" si="26"/>
        <v>3.6959999999999997</v>
      </c>
      <c r="T107" s="2">
        <f>ステ計算型!$I$27</f>
        <v>1.1000000000000001</v>
      </c>
      <c r="U107" s="2">
        <f>ステ計算型!$J$29</f>
        <v>2</v>
      </c>
      <c r="V107" s="2">
        <f>ステ計算型!$F$32</f>
        <v>0.75</v>
      </c>
      <c r="W107" s="2">
        <f>ステ計算型!$G$34</f>
        <v>1</v>
      </c>
      <c r="X107" s="7">
        <f t="shared" si="22"/>
        <v>73231.405632000009</v>
      </c>
      <c r="Y107" s="7">
        <f t="shared" si="19"/>
        <v>400</v>
      </c>
      <c r="Z107" s="7">
        <f t="shared" si="20"/>
        <v>1</v>
      </c>
      <c r="AA107" s="38">
        <f>IF(L107&lt;ステ計算型!$A$20,0,1)</f>
        <v>0</v>
      </c>
      <c r="AB107" s="3">
        <f t="shared" si="21"/>
        <v>0</v>
      </c>
    </row>
    <row r="108" spans="1:28" ht="8.25" customHeight="1">
      <c r="A108" s="3">
        <f t="shared" si="17"/>
        <v>0</v>
      </c>
      <c r="B108" s="2">
        <f>ステ計算型!$B$2</f>
        <v>101</v>
      </c>
      <c r="C108" s="7">
        <f>VLOOKUP(B108,ポイント!$A$1:$D$43,4,FALSE)</f>
        <v>571</v>
      </c>
      <c r="D108" s="2">
        <f>ステ計算型!$B$4</f>
        <v>5</v>
      </c>
      <c r="E108" s="2">
        <f>ステ計算型!$B$6</f>
        <v>127</v>
      </c>
      <c r="F108" s="2">
        <f>ステ計算型!$B$8</f>
        <v>10</v>
      </c>
      <c r="G108" s="2">
        <f>ステ計算型!$B$9</f>
        <v>82</v>
      </c>
      <c r="H108" s="7">
        <f t="shared" si="23"/>
        <v>347</v>
      </c>
      <c r="I108" s="5">
        <f>ステ計算型!$K$3</f>
        <v>7390</v>
      </c>
      <c r="J108" s="5">
        <f>ステ計算型!$N$3</f>
        <v>66</v>
      </c>
      <c r="K108" s="5">
        <v>109</v>
      </c>
      <c r="L108" s="7">
        <f t="shared" si="24"/>
        <v>238</v>
      </c>
      <c r="M108" s="7">
        <f t="shared" si="18"/>
        <v>25216</v>
      </c>
      <c r="N108" s="2">
        <v>1</v>
      </c>
      <c r="O108" s="7">
        <f t="shared" si="16"/>
        <v>0.28000000000000003</v>
      </c>
      <c r="P108" s="7">
        <f t="shared" si="25"/>
        <v>0.28000000000000003</v>
      </c>
      <c r="Q108" s="2">
        <f>ステ計算型!$I$29</f>
        <v>1</v>
      </c>
      <c r="R108" s="2">
        <f>ステ計算型!$E$33</f>
        <v>0.2</v>
      </c>
      <c r="S108" s="7">
        <f t="shared" si="26"/>
        <v>3.7079999999999997</v>
      </c>
      <c r="T108" s="2">
        <f>ステ計算型!$I$27</f>
        <v>1.1000000000000001</v>
      </c>
      <c r="U108" s="2">
        <f>ステ計算型!$J$29</f>
        <v>2</v>
      </c>
      <c r="V108" s="2">
        <f>ステ計算型!$F$32</f>
        <v>0.75</v>
      </c>
      <c r="W108" s="2">
        <f>ステ計算型!$G$34</f>
        <v>1</v>
      </c>
      <c r="X108" s="7">
        <f t="shared" si="22"/>
        <v>73154.036736000009</v>
      </c>
      <c r="Y108" s="7">
        <f t="shared" si="19"/>
        <v>400</v>
      </c>
      <c r="Z108" s="7">
        <f t="shared" si="20"/>
        <v>1</v>
      </c>
      <c r="AA108" s="38">
        <f>IF(L108&lt;ステ計算型!$A$20,0,1)</f>
        <v>0</v>
      </c>
      <c r="AB108" s="3">
        <f t="shared" si="21"/>
        <v>0</v>
      </c>
    </row>
    <row r="109" spans="1:28" ht="8.25" customHeight="1">
      <c r="A109" s="3">
        <f t="shared" si="17"/>
        <v>0</v>
      </c>
      <c r="B109" s="2">
        <f>ステ計算型!$B$2</f>
        <v>101</v>
      </c>
      <c r="C109" s="7">
        <f>VLOOKUP(B109,ポイント!$A$1:$D$43,4,FALSE)</f>
        <v>571</v>
      </c>
      <c r="D109" s="2">
        <f>ステ計算型!$B$4</f>
        <v>5</v>
      </c>
      <c r="E109" s="2">
        <f>ステ計算型!$B$6</f>
        <v>127</v>
      </c>
      <c r="F109" s="2">
        <f>ステ計算型!$B$8</f>
        <v>10</v>
      </c>
      <c r="G109" s="2">
        <f>ステ計算型!$B$9</f>
        <v>82</v>
      </c>
      <c r="H109" s="7">
        <f t="shared" si="23"/>
        <v>347</v>
      </c>
      <c r="I109" s="5">
        <f>ステ計算型!$K$3</f>
        <v>7390</v>
      </c>
      <c r="J109" s="5">
        <f>ステ計算型!$N$3</f>
        <v>66</v>
      </c>
      <c r="K109" s="5">
        <v>110</v>
      </c>
      <c r="L109" s="7">
        <f t="shared" si="24"/>
        <v>237</v>
      </c>
      <c r="M109" s="7">
        <f t="shared" si="18"/>
        <v>25141</v>
      </c>
      <c r="N109" s="2">
        <v>1</v>
      </c>
      <c r="O109" s="7">
        <f t="shared" si="16"/>
        <v>0.28000000000000003</v>
      </c>
      <c r="P109" s="7">
        <f t="shared" si="25"/>
        <v>0.28000000000000003</v>
      </c>
      <c r="Q109" s="2">
        <f>ステ計算型!$I$29</f>
        <v>1</v>
      </c>
      <c r="R109" s="2">
        <f>ステ計算型!$E$33</f>
        <v>0.2</v>
      </c>
      <c r="S109" s="7">
        <f t="shared" si="26"/>
        <v>3.7199999999999998</v>
      </c>
      <c r="T109" s="2">
        <f>ステ計算型!$I$27</f>
        <v>1.1000000000000001</v>
      </c>
      <c r="U109" s="2">
        <f>ステ計算型!$J$29</f>
        <v>2</v>
      </c>
      <c r="V109" s="2">
        <f>ステ計算型!$F$32</f>
        <v>0.75</v>
      </c>
      <c r="W109" s="2">
        <f>ステ計算型!$G$34</f>
        <v>1</v>
      </c>
      <c r="X109" s="7">
        <f t="shared" si="22"/>
        <v>73075.836240000004</v>
      </c>
      <c r="Y109" s="7">
        <f t="shared" si="19"/>
        <v>400</v>
      </c>
      <c r="Z109" s="7">
        <f t="shared" si="20"/>
        <v>1</v>
      </c>
      <c r="AA109" s="38">
        <f>IF(L109&lt;ステ計算型!$A$20,0,1)</f>
        <v>0</v>
      </c>
      <c r="AB109" s="3">
        <f t="shared" si="21"/>
        <v>0</v>
      </c>
    </row>
    <row r="110" spans="1:28" ht="8.25" customHeight="1">
      <c r="A110" s="3">
        <f t="shared" si="17"/>
        <v>0</v>
      </c>
      <c r="B110" s="2">
        <f>ステ計算型!$B$2</f>
        <v>101</v>
      </c>
      <c r="C110" s="7">
        <f>VLOOKUP(B110,ポイント!$A$1:$D$43,4,FALSE)</f>
        <v>571</v>
      </c>
      <c r="D110" s="2">
        <f>ステ計算型!$B$4</f>
        <v>5</v>
      </c>
      <c r="E110" s="2">
        <f>ステ計算型!$B$6</f>
        <v>127</v>
      </c>
      <c r="F110" s="2">
        <f>ステ計算型!$B$8</f>
        <v>10</v>
      </c>
      <c r="G110" s="2">
        <f>ステ計算型!$B$9</f>
        <v>82</v>
      </c>
      <c r="H110" s="7">
        <f t="shared" si="23"/>
        <v>347</v>
      </c>
      <c r="I110" s="5">
        <f>ステ計算型!$K$3</f>
        <v>7390</v>
      </c>
      <c r="J110" s="5">
        <f>ステ計算型!$N$3</f>
        <v>66</v>
      </c>
      <c r="K110" s="5">
        <v>111</v>
      </c>
      <c r="L110" s="7">
        <f t="shared" si="24"/>
        <v>236</v>
      </c>
      <c r="M110" s="7">
        <f t="shared" si="18"/>
        <v>25066</v>
      </c>
      <c r="N110" s="2">
        <v>1</v>
      </c>
      <c r="O110" s="7">
        <f t="shared" si="16"/>
        <v>0.28000000000000003</v>
      </c>
      <c r="P110" s="7">
        <f t="shared" si="25"/>
        <v>0.28000000000000003</v>
      </c>
      <c r="Q110" s="2">
        <f>ステ計算型!$I$29</f>
        <v>1</v>
      </c>
      <c r="R110" s="2">
        <f>ステ計算型!$E$33</f>
        <v>0.2</v>
      </c>
      <c r="S110" s="7">
        <f t="shared" si="26"/>
        <v>3.7320000000000002</v>
      </c>
      <c r="T110" s="2">
        <f>ステ計算型!$I$27</f>
        <v>1.1000000000000001</v>
      </c>
      <c r="U110" s="2">
        <f>ステ計算型!$J$29</f>
        <v>2</v>
      </c>
      <c r="V110" s="2">
        <f>ステ計算型!$F$32</f>
        <v>0.75</v>
      </c>
      <c r="W110" s="2">
        <f>ステ計算型!$G$34</f>
        <v>1</v>
      </c>
      <c r="X110" s="7">
        <f t="shared" si="22"/>
        <v>72996.804144000009</v>
      </c>
      <c r="Y110" s="7">
        <f t="shared" si="19"/>
        <v>400</v>
      </c>
      <c r="Z110" s="7">
        <f t="shared" si="20"/>
        <v>1</v>
      </c>
      <c r="AA110" s="38">
        <f>IF(L110&lt;ステ計算型!$A$20,0,1)</f>
        <v>0</v>
      </c>
      <c r="AB110" s="3">
        <f t="shared" si="21"/>
        <v>0</v>
      </c>
    </row>
    <row r="111" spans="1:28" ht="8.25" customHeight="1">
      <c r="A111" s="3">
        <f t="shared" si="17"/>
        <v>0</v>
      </c>
      <c r="B111" s="2">
        <f>ステ計算型!$B$2</f>
        <v>101</v>
      </c>
      <c r="C111" s="7">
        <f>VLOOKUP(B111,ポイント!$A$1:$D$43,4,FALSE)</f>
        <v>571</v>
      </c>
      <c r="D111" s="2">
        <f>ステ計算型!$B$4</f>
        <v>5</v>
      </c>
      <c r="E111" s="2">
        <f>ステ計算型!$B$6</f>
        <v>127</v>
      </c>
      <c r="F111" s="2">
        <f>ステ計算型!$B$8</f>
        <v>10</v>
      </c>
      <c r="G111" s="2">
        <f>ステ計算型!$B$9</f>
        <v>82</v>
      </c>
      <c r="H111" s="7">
        <f t="shared" si="23"/>
        <v>347</v>
      </c>
      <c r="I111" s="5">
        <f>ステ計算型!$K$3</f>
        <v>7390</v>
      </c>
      <c r="J111" s="5">
        <f>ステ計算型!$N$3</f>
        <v>66</v>
      </c>
      <c r="K111" s="5">
        <v>112</v>
      </c>
      <c r="L111" s="7">
        <f t="shared" si="24"/>
        <v>235</v>
      </c>
      <c r="M111" s="7">
        <f t="shared" si="18"/>
        <v>24991</v>
      </c>
      <c r="N111" s="2">
        <v>1</v>
      </c>
      <c r="O111" s="7">
        <f t="shared" si="16"/>
        <v>0.28000000000000003</v>
      </c>
      <c r="P111" s="7">
        <f t="shared" si="25"/>
        <v>0.28000000000000003</v>
      </c>
      <c r="Q111" s="2">
        <f>ステ計算型!$I$29</f>
        <v>1</v>
      </c>
      <c r="R111" s="2">
        <f>ステ計算型!$E$33</f>
        <v>0.2</v>
      </c>
      <c r="S111" s="7">
        <f t="shared" si="26"/>
        <v>3.7439999999999998</v>
      </c>
      <c r="T111" s="2">
        <f>ステ計算型!$I$27</f>
        <v>1.1000000000000001</v>
      </c>
      <c r="U111" s="2">
        <f>ステ計算型!$J$29</f>
        <v>2</v>
      </c>
      <c r="V111" s="2">
        <f>ステ計算型!$F$32</f>
        <v>0.75</v>
      </c>
      <c r="W111" s="2">
        <f>ステ計算型!$G$34</f>
        <v>1</v>
      </c>
      <c r="X111" s="7">
        <f t="shared" si="22"/>
        <v>72916.940448000023</v>
      </c>
      <c r="Y111" s="7">
        <f t="shared" si="19"/>
        <v>400</v>
      </c>
      <c r="Z111" s="7">
        <f t="shared" si="20"/>
        <v>1</v>
      </c>
      <c r="AA111" s="38">
        <f>IF(L111&lt;ステ計算型!$A$20,0,1)</f>
        <v>0</v>
      </c>
      <c r="AB111" s="3">
        <f t="shared" si="21"/>
        <v>0</v>
      </c>
    </row>
    <row r="112" spans="1:28" ht="8.25" customHeight="1">
      <c r="A112" s="3">
        <f t="shared" si="17"/>
        <v>0</v>
      </c>
      <c r="B112" s="2">
        <f>ステ計算型!$B$2</f>
        <v>101</v>
      </c>
      <c r="C112" s="7">
        <f>VLOOKUP(B112,ポイント!$A$1:$D$43,4,FALSE)</f>
        <v>571</v>
      </c>
      <c r="D112" s="2">
        <f>ステ計算型!$B$4</f>
        <v>5</v>
      </c>
      <c r="E112" s="2">
        <f>ステ計算型!$B$6</f>
        <v>127</v>
      </c>
      <c r="F112" s="2">
        <f>ステ計算型!$B$8</f>
        <v>10</v>
      </c>
      <c r="G112" s="2">
        <f>ステ計算型!$B$9</f>
        <v>82</v>
      </c>
      <c r="H112" s="7">
        <f t="shared" si="23"/>
        <v>347</v>
      </c>
      <c r="I112" s="5">
        <f>ステ計算型!$K$3</f>
        <v>7390</v>
      </c>
      <c r="J112" s="5">
        <f>ステ計算型!$N$3</f>
        <v>66</v>
      </c>
      <c r="K112" s="5">
        <v>113</v>
      </c>
      <c r="L112" s="7">
        <f t="shared" si="24"/>
        <v>234</v>
      </c>
      <c r="M112" s="7">
        <f t="shared" si="18"/>
        <v>24916</v>
      </c>
      <c r="N112" s="2">
        <v>1</v>
      </c>
      <c r="O112" s="7">
        <f t="shared" si="16"/>
        <v>0.28999999999999998</v>
      </c>
      <c r="P112" s="7">
        <f t="shared" si="25"/>
        <v>0.28999999999999998</v>
      </c>
      <c r="Q112" s="2">
        <f>ステ計算型!$I$29</f>
        <v>1</v>
      </c>
      <c r="R112" s="2">
        <f>ステ計算型!$E$33</f>
        <v>0.2</v>
      </c>
      <c r="S112" s="7">
        <f t="shared" si="26"/>
        <v>3.7559999999999998</v>
      </c>
      <c r="T112" s="2">
        <f>ステ計算型!$I$27</f>
        <v>1.1000000000000001</v>
      </c>
      <c r="U112" s="2">
        <f>ステ計算型!$J$29</f>
        <v>2</v>
      </c>
      <c r="V112" s="2">
        <f>ステ計算型!$F$32</f>
        <v>0.75</v>
      </c>
      <c r="W112" s="2">
        <f>ステ計算型!$G$34</f>
        <v>1</v>
      </c>
      <c r="X112" s="7">
        <f t="shared" si="22"/>
        <v>73969.275335999992</v>
      </c>
      <c r="Y112" s="7">
        <f t="shared" si="19"/>
        <v>400</v>
      </c>
      <c r="Z112" s="7">
        <f t="shared" si="20"/>
        <v>1</v>
      </c>
      <c r="AA112" s="38">
        <f>IF(L112&lt;ステ計算型!$A$20,0,1)</f>
        <v>0</v>
      </c>
      <c r="AB112" s="3">
        <f t="shared" si="21"/>
        <v>0</v>
      </c>
    </row>
    <row r="113" spans="1:28" ht="8.25" customHeight="1">
      <c r="A113" s="3">
        <f t="shared" si="17"/>
        <v>0</v>
      </c>
      <c r="B113" s="2">
        <f>ステ計算型!$B$2</f>
        <v>101</v>
      </c>
      <c r="C113" s="7">
        <f>VLOOKUP(B113,ポイント!$A$1:$D$43,4,FALSE)</f>
        <v>571</v>
      </c>
      <c r="D113" s="2">
        <f>ステ計算型!$B$4</f>
        <v>5</v>
      </c>
      <c r="E113" s="2">
        <f>ステ計算型!$B$6</f>
        <v>127</v>
      </c>
      <c r="F113" s="2">
        <f>ステ計算型!$B$8</f>
        <v>10</v>
      </c>
      <c r="G113" s="2">
        <f>ステ計算型!$B$9</f>
        <v>82</v>
      </c>
      <c r="H113" s="7">
        <f t="shared" si="23"/>
        <v>347</v>
      </c>
      <c r="I113" s="5">
        <f>ステ計算型!$K$3</f>
        <v>7390</v>
      </c>
      <c r="J113" s="5">
        <f>ステ計算型!$N$3</f>
        <v>66</v>
      </c>
      <c r="K113" s="5">
        <v>114</v>
      </c>
      <c r="L113" s="7">
        <f t="shared" si="24"/>
        <v>233</v>
      </c>
      <c r="M113" s="7">
        <f t="shared" si="18"/>
        <v>24841</v>
      </c>
      <c r="N113" s="2">
        <v>1</v>
      </c>
      <c r="O113" s="7">
        <f t="shared" si="16"/>
        <v>0.28999999999999998</v>
      </c>
      <c r="P113" s="7">
        <f t="shared" si="25"/>
        <v>0.28999999999999998</v>
      </c>
      <c r="Q113" s="2">
        <f>ステ計算型!$I$29</f>
        <v>1</v>
      </c>
      <c r="R113" s="2">
        <f>ステ計算型!$E$33</f>
        <v>0.2</v>
      </c>
      <c r="S113" s="7">
        <f t="shared" si="26"/>
        <v>3.7679999999999993</v>
      </c>
      <c r="T113" s="2">
        <f>ステ計算型!$I$27</f>
        <v>1.1000000000000001</v>
      </c>
      <c r="U113" s="2">
        <f>ステ計算型!$J$29</f>
        <v>2</v>
      </c>
      <c r="V113" s="2">
        <f>ステ計算型!$F$32</f>
        <v>0.75</v>
      </c>
      <c r="W113" s="2">
        <f>ステ計算型!$G$34</f>
        <v>1</v>
      </c>
      <c r="X113" s="7">
        <f t="shared" si="22"/>
        <v>73889.256408000016</v>
      </c>
      <c r="Y113" s="7">
        <f t="shared" si="19"/>
        <v>400</v>
      </c>
      <c r="Z113" s="7">
        <f t="shared" si="20"/>
        <v>1</v>
      </c>
      <c r="AA113" s="38">
        <f>IF(L113&lt;ステ計算型!$A$20,0,1)</f>
        <v>0</v>
      </c>
      <c r="AB113" s="3">
        <f t="shared" si="21"/>
        <v>0</v>
      </c>
    </row>
    <row r="114" spans="1:28" ht="8.25" customHeight="1">
      <c r="A114" s="3">
        <f t="shared" si="17"/>
        <v>0</v>
      </c>
      <c r="B114" s="2">
        <f>ステ計算型!$B$2</f>
        <v>101</v>
      </c>
      <c r="C114" s="7">
        <f>VLOOKUP(B114,ポイント!$A$1:$D$43,4,FALSE)</f>
        <v>571</v>
      </c>
      <c r="D114" s="2">
        <f>ステ計算型!$B$4</f>
        <v>5</v>
      </c>
      <c r="E114" s="2">
        <f>ステ計算型!$B$6</f>
        <v>127</v>
      </c>
      <c r="F114" s="2">
        <f>ステ計算型!$B$8</f>
        <v>10</v>
      </c>
      <c r="G114" s="2">
        <f>ステ計算型!$B$9</f>
        <v>82</v>
      </c>
      <c r="H114" s="7">
        <f t="shared" si="23"/>
        <v>347</v>
      </c>
      <c r="I114" s="5">
        <f>ステ計算型!$K$3</f>
        <v>7390</v>
      </c>
      <c r="J114" s="5">
        <f>ステ計算型!$N$3</f>
        <v>66</v>
      </c>
      <c r="K114" s="5">
        <v>115</v>
      </c>
      <c r="L114" s="7">
        <f t="shared" si="24"/>
        <v>232</v>
      </c>
      <c r="M114" s="7">
        <f t="shared" si="18"/>
        <v>24766</v>
      </c>
      <c r="N114" s="2">
        <v>1</v>
      </c>
      <c r="O114" s="7">
        <f t="shared" si="16"/>
        <v>0.28999999999999998</v>
      </c>
      <c r="P114" s="7">
        <f t="shared" si="25"/>
        <v>0.28999999999999998</v>
      </c>
      <c r="Q114" s="2">
        <f>ステ計算型!$I$29</f>
        <v>1</v>
      </c>
      <c r="R114" s="2">
        <f>ステ計算型!$E$33</f>
        <v>0.2</v>
      </c>
      <c r="S114" s="7">
        <f t="shared" si="26"/>
        <v>3.78</v>
      </c>
      <c r="T114" s="2">
        <f>ステ計算型!$I$27</f>
        <v>1.1000000000000001</v>
      </c>
      <c r="U114" s="2">
        <f>ステ計算型!$J$29</f>
        <v>2</v>
      </c>
      <c r="V114" s="2">
        <f>ステ計算型!$F$32</f>
        <v>0.75</v>
      </c>
      <c r="W114" s="2">
        <f>ステ計算型!$G$34</f>
        <v>1</v>
      </c>
      <c r="X114" s="7">
        <f t="shared" si="22"/>
        <v>73808.376179999992</v>
      </c>
      <c r="Y114" s="7">
        <f t="shared" si="19"/>
        <v>400</v>
      </c>
      <c r="Z114" s="7">
        <f t="shared" si="20"/>
        <v>1</v>
      </c>
      <c r="AA114" s="38">
        <f>IF(L114&lt;ステ計算型!$A$20,0,1)</f>
        <v>0</v>
      </c>
      <c r="AB114" s="3">
        <f t="shared" si="21"/>
        <v>0</v>
      </c>
    </row>
    <row r="115" spans="1:28" ht="8.25" customHeight="1">
      <c r="A115" s="3">
        <f t="shared" si="17"/>
        <v>0</v>
      </c>
      <c r="B115" s="2">
        <f>ステ計算型!$B$2</f>
        <v>101</v>
      </c>
      <c r="C115" s="7">
        <f>VLOOKUP(B115,ポイント!$A$1:$D$43,4,FALSE)</f>
        <v>571</v>
      </c>
      <c r="D115" s="2">
        <f>ステ計算型!$B$4</f>
        <v>5</v>
      </c>
      <c r="E115" s="2">
        <f>ステ計算型!$B$6</f>
        <v>127</v>
      </c>
      <c r="F115" s="2">
        <f>ステ計算型!$B$8</f>
        <v>10</v>
      </c>
      <c r="G115" s="2">
        <f>ステ計算型!$B$9</f>
        <v>82</v>
      </c>
      <c r="H115" s="7">
        <f t="shared" si="23"/>
        <v>347</v>
      </c>
      <c r="I115" s="5">
        <f>ステ計算型!$K$3</f>
        <v>7390</v>
      </c>
      <c r="J115" s="5">
        <f>ステ計算型!$N$3</f>
        <v>66</v>
      </c>
      <c r="K115" s="5">
        <v>116</v>
      </c>
      <c r="L115" s="7">
        <f t="shared" si="24"/>
        <v>231</v>
      </c>
      <c r="M115" s="7">
        <f t="shared" si="18"/>
        <v>24691</v>
      </c>
      <c r="N115" s="2">
        <v>1</v>
      </c>
      <c r="O115" s="7">
        <f t="shared" si="16"/>
        <v>0.28999999999999998</v>
      </c>
      <c r="P115" s="7">
        <f t="shared" si="25"/>
        <v>0.28999999999999998</v>
      </c>
      <c r="Q115" s="2">
        <f>ステ計算型!$I$29</f>
        <v>1</v>
      </c>
      <c r="R115" s="2">
        <f>ステ計算型!$E$33</f>
        <v>0.2</v>
      </c>
      <c r="S115" s="7">
        <f t="shared" si="26"/>
        <v>3.7919999999999998</v>
      </c>
      <c r="T115" s="2">
        <f>ステ計算型!$I$27</f>
        <v>1.1000000000000001</v>
      </c>
      <c r="U115" s="2">
        <f>ステ計算型!$J$29</f>
        <v>2</v>
      </c>
      <c r="V115" s="2">
        <f>ステ計算型!$F$32</f>
        <v>0.75</v>
      </c>
      <c r="W115" s="2">
        <f>ステ計算型!$G$34</f>
        <v>1</v>
      </c>
      <c r="X115" s="7">
        <f t="shared" si="22"/>
        <v>73726.634651999993</v>
      </c>
      <c r="Y115" s="7">
        <f t="shared" si="19"/>
        <v>400</v>
      </c>
      <c r="Z115" s="7">
        <f t="shared" si="20"/>
        <v>1</v>
      </c>
      <c r="AA115" s="38">
        <f>IF(L115&lt;ステ計算型!$A$20,0,1)</f>
        <v>0</v>
      </c>
      <c r="AB115" s="3">
        <f t="shared" si="21"/>
        <v>0</v>
      </c>
    </row>
    <row r="116" spans="1:28" ht="8.25" customHeight="1">
      <c r="A116" s="3">
        <f t="shared" si="17"/>
        <v>0</v>
      </c>
      <c r="B116" s="2">
        <f>ステ計算型!$B$2</f>
        <v>101</v>
      </c>
      <c r="C116" s="7">
        <f>VLOOKUP(B116,ポイント!$A$1:$D$43,4,FALSE)</f>
        <v>571</v>
      </c>
      <c r="D116" s="2">
        <f>ステ計算型!$B$4</f>
        <v>5</v>
      </c>
      <c r="E116" s="2">
        <f>ステ計算型!$B$6</f>
        <v>127</v>
      </c>
      <c r="F116" s="2">
        <f>ステ計算型!$B$8</f>
        <v>10</v>
      </c>
      <c r="G116" s="2">
        <f>ステ計算型!$B$9</f>
        <v>82</v>
      </c>
      <c r="H116" s="7">
        <f t="shared" si="23"/>
        <v>347</v>
      </c>
      <c r="I116" s="5">
        <f>ステ計算型!$K$3</f>
        <v>7390</v>
      </c>
      <c r="J116" s="5">
        <f>ステ計算型!$N$3</f>
        <v>66</v>
      </c>
      <c r="K116" s="5">
        <v>117</v>
      </c>
      <c r="L116" s="7">
        <f t="shared" si="24"/>
        <v>230</v>
      </c>
      <c r="M116" s="7">
        <f t="shared" si="18"/>
        <v>24617</v>
      </c>
      <c r="N116" s="2">
        <v>1</v>
      </c>
      <c r="O116" s="7">
        <f t="shared" si="16"/>
        <v>0.28999999999999998</v>
      </c>
      <c r="P116" s="7">
        <f t="shared" si="25"/>
        <v>0.28999999999999998</v>
      </c>
      <c r="Q116" s="2">
        <f>ステ計算型!$I$29</f>
        <v>1</v>
      </c>
      <c r="R116" s="2">
        <f>ステ計算型!$E$33</f>
        <v>0.2</v>
      </c>
      <c r="S116" s="7">
        <f t="shared" si="26"/>
        <v>3.8039999999999998</v>
      </c>
      <c r="T116" s="2">
        <f>ステ計算型!$I$27</f>
        <v>1.1000000000000001</v>
      </c>
      <c r="U116" s="2">
        <f>ステ計算型!$J$29</f>
        <v>2</v>
      </c>
      <c r="V116" s="2">
        <f>ステ計算型!$F$32</f>
        <v>0.75</v>
      </c>
      <c r="W116" s="2">
        <f>ステ計算型!$G$34</f>
        <v>1</v>
      </c>
      <c r="X116" s="7">
        <f t="shared" si="22"/>
        <v>73647.023538000009</v>
      </c>
      <c r="Y116" s="7">
        <f t="shared" si="19"/>
        <v>400</v>
      </c>
      <c r="Z116" s="7">
        <f t="shared" si="20"/>
        <v>1</v>
      </c>
      <c r="AA116" s="38">
        <f>IF(L116&lt;ステ計算型!$A$20,0,1)</f>
        <v>0</v>
      </c>
      <c r="AB116" s="3">
        <f t="shared" si="21"/>
        <v>0</v>
      </c>
    </row>
    <row r="117" spans="1:28" ht="8.25" customHeight="1">
      <c r="A117" s="3">
        <f t="shared" si="17"/>
        <v>0</v>
      </c>
      <c r="B117" s="2">
        <f>ステ計算型!$B$2</f>
        <v>101</v>
      </c>
      <c r="C117" s="7">
        <f>VLOOKUP(B117,ポイント!$A$1:$D$43,4,FALSE)</f>
        <v>571</v>
      </c>
      <c r="D117" s="2">
        <f>ステ計算型!$B$4</f>
        <v>5</v>
      </c>
      <c r="E117" s="2">
        <f>ステ計算型!$B$6</f>
        <v>127</v>
      </c>
      <c r="F117" s="2">
        <f>ステ計算型!$B$8</f>
        <v>10</v>
      </c>
      <c r="G117" s="2">
        <f>ステ計算型!$B$9</f>
        <v>82</v>
      </c>
      <c r="H117" s="7">
        <f t="shared" si="23"/>
        <v>347</v>
      </c>
      <c r="I117" s="5">
        <f>ステ計算型!$K$3</f>
        <v>7390</v>
      </c>
      <c r="J117" s="5">
        <f>ステ計算型!$N$3</f>
        <v>66</v>
      </c>
      <c r="K117" s="5">
        <v>118</v>
      </c>
      <c r="L117" s="7">
        <f t="shared" si="24"/>
        <v>229</v>
      </c>
      <c r="M117" s="7">
        <f t="shared" si="18"/>
        <v>24542</v>
      </c>
      <c r="N117" s="2">
        <v>1</v>
      </c>
      <c r="O117" s="7">
        <f t="shared" si="16"/>
        <v>0.28999999999999998</v>
      </c>
      <c r="P117" s="7">
        <f t="shared" si="25"/>
        <v>0.28999999999999998</v>
      </c>
      <c r="Q117" s="2">
        <f>ステ計算型!$I$29</f>
        <v>1</v>
      </c>
      <c r="R117" s="2">
        <f>ステ計算型!$E$33</f>
        <v>0.2</v>
      </c>
      <c r="S117" s="7">
        <f t="shared" si="26"/>
        <v>3.8159999999999994</v>
      </c>
      <c r="T117" s="2">
        <f>ステ計算型!$I$27</f>
        <v>1.1000000000000001</v>
      </c>
      <c r="U117" s="2">
        <f>ステ計算型!$J$29</f>
        <v>2</v>
      </c>
      <c r="V117" s="2">
        <f>ステ計算型!$F$32</f>
        <v>0.75</v>
      </c>
      <c r="W117" s="2">
        <f>ステ計算型!$G$34</f>
        <v>1</v>
      </c>
      <c r="X117" s="7">
        <f t="shared" si="22"/>
        <v>73563.565151999981</v>
      </c>
      <c r="Y117" s="7">
        <f t="shared" si="19"/>
        <v>400</v>
      </c>
      <c r="Z117" s="7">
        <f t="shared" si="20"/>
        <v>1</v>
      </c>
      <c r="AA117" s="38">
        <f>IF(L117&lt;ステ計算型!$A$20,0,1)</f>
        <v>0</v>
      </c>
      <c r="AB117" s="3">
        <f t="shared" si="21"/>
        <v>0</v>
      </c>
    </row>
    <row r="118" spans="1:28" ht="8.25" customHeight="1">
      <c r="A118" s="3">
        <f t="shared" si="17"/>
        <v>0</v>
      </c>
      <c r="B118" s="2">
        <f>ステ計算型!$B$2</f>
        <v>101</v>
      </c>
      <c r="C118" s="7">
        <f>VLOOKUP(B118,ポイント!$A$1:$D$43,4,FALSE)</f>
        <v>571</v>
      </c>
      <c r="D118" s="2">
        <f>ステ計算型!$B$4</f>
        <v>5</v>
      </c>
      <c r="E118" s="2">
        <f>ステ計算型!$B$6</f>
        <v>127</v>
      </c>
      <c r="F118" s="2">
        <f>ステ計算型!$B$8</f>
        <v>10</v>
      </c>
      <c r="G118" s="2">
        <f>ステ計算型!$B$9</f>
        <v>82</v>
      </c>
      <c r="H118" s="7">
        <f t="shared" si="23"/>
        <v>347</v>
      </c>
      <c r="I118" s="5">
        <f>ステ計算型!$K$3</f>
        <v>7390</v>
      </c>
      <c r="J118" s="5">
        <f>ステ計算型!$N$3</f>
        <v>66</v>
      </c>
      <c r="K118" s="5">
        <v>119</v>
      </c>
      <c r="L118" s="7">
        <f t="shared" si="24"/>
        <v>228</v>
      </c>
      <c r="M118" s="7">
        <f t="shared" si="18"/>
        <v>24467</v>
      </c>
      <c r="N118" s="2">
        <v>1</v>
      </c>
      <c r="O118" s="7">
        <f t="shared" si="16"/>
        <v>0.28999999999999998</v>
      </c>
      <c r="P118" s="7">
        <f t="shared" si="25"/>
        <v>0.28999999999999998</v>
      </c>
      <c r="Q118" s="2">
        <f>ステ計算型!$I$29</f>
        <v>1</v>
      </c>
      <c r="R118" s="2">
        <f>ステ計算型!$E$33</f>
        <v>0.2</v>
      </c>
      <c r="S118" s="7">
        <f t="shared" si="26"/>
        <v>3.8279999999999998</v>
      </c>
      <c r="T118" s="2">
        <f>ステ計算型!$I$27</f>
        <v>1.1000000000000001</v>
      </c>
      <c r="U118" s="2">
        <f>ステ計算型!$J$29</f>
        <v>2</v>
      </c>
      <c r="V118" s="2">
        <f>ステ計算型!$F$32</f>
        <v>0.75</v>
      </c>
      <c r="W118" s="2">
        <f>ステ計算型!$G$34</f>
        <v>1</v>
      </c>
      <c r="X118" s="7">
        <f t="shared" si="22"/>
        <v>73479.245465999993</v>
      </c>
      <c r="Y118" s="7">
        <f t="shared" si="19"/>
        <v>400</v>
      </c>
      <c r="Z118" s="7">
        <f t="shared" si="20"/>
        <v>1</v>
      </c>
      <c r="AA118" s="38">
        <f>IF(L118&lt;ステ計算型!$A$20,0,1)</f>
        <v>0</v>
      </c>
      <c r="AB118" s="3">
        <f t="shared" si="21"/>
        <v>0</v>
      </c>
    </row>
    <row r="119" spans="1:28" ht="8.25" customHeight="1">
      <c r="A119" s="3">
        <f t="shared" si="17"/>
        <v>0</v>
      </c>
      <c r="B119" s="2">
        <f>ステ計算型!$B$2</f>
        <v>101</v>
      </c>
      <c r="C119" s="7">
        <f>VLOOKUP(B119,ポイント!$A$1:$D$43,4,FALSE)</f>
        <v>571</v>
      </c>
      <c r="D119" s="2">
        <f>ステ計算型!$B$4</f>
        <v>5</v>
      </c>
      <c r="E119" s="2">
        <f>ステ計算型!$B$6</f>
        <v>127</v>
      </c>
      <c r="F119" s="2">
        <f>ステ計算型!$B$8</f>
        <v>10</v>
      </c>
      <c r="G119" s="2">
        <f>ステ計算型!$B$9</f>
        <v>82</v>
      </c>
      <c r="H119" s="7">
        <f t="shared" si="23"/>
        <v>347</v>
      </c>
      <c r="I119" s="5">
        <f>ステ計算型!$K$3</f>
        <v>7390</v>
      </c>
      <c r="J119" s="5">
        <f>ステ計算型!$N$3</f>
        <v>66</v>
      </c>
      <c r="K119" s="5">
        <v>120</v>
      </c>
      <c r="L119" s="7">
        <f t="shared" si="24"/>
        <v>227</v>
      </c>
      <c r="M119" s="7">
        <f t="shared" si="18"/>
        <v>24392</v>
      </c>
      <c r="N119" s="2">
        <v>1</v>
      </c>
      <c r="O119" s="7">
        <f t="shared" si="16"/>
        <v>0.3</v>
      </c>
      <c r="P119" s="7">
        <f t="shared" si="25"/>
        <v>0.3</v>
      </c>
      <c r="Q119" s="2">
        <f>ステ計算型!$I$29</f>
        <v>1</v>
      </c>
      <c r="R119" s="2">
        <f>ステ計算型!$E$33</f>
        <v>0.2</v>
      </c>
      <c r="S119" s="7">
        <f t="shared" si="26"/>
        <v>3.84</v>
      </c>
      <c r="T119" s="2">
        <f>ステ計算型!$I$27</f>
        <v>1.1000000000000001</v>
      </c>
      <c r="U119" s="2">
        <f>ステ計算型!$J$29</f>
        <v>2</v>
      </c>
      <c r="V119" s="2">
        <f>ステ計算型!$F$32</f>
        <v>0.75</v>
      </c>
      <c r="W119" s="2">
        <f>ステ計算型!$G$34</f>
        <v>1</v>
      </c>
      <c r="X119" s="7">
        <f t="shared" si="22"/>
        <v>74537.073600000018</v>
      </c>
      <c r="Y119" s="7">
        <f t="shared" si="19"/>
        <v>400</v>
      </c>
      <c r="Z119" s="7">
        <f t="shared" si="20"/>
        <v>1</v>
      </c>
      <c r="AA119" s="38">
        <f>IF(L119&lt;ステ計算型!$A$20,0,1)</f>
        <v>0</v>
      </c>
      <c r="AB119" s="3">
        <f t="shared" si="21"/>
        <v>0</v>
      </c>
    </row>
    <row r="120" spans="1:28" ht="8.25" customHeight="1">
      <c r="A120" s="3">
        <f t="shared" si="17"/>
        <v>0</v>
      </c>
      <c r="B120" s="2">
        <f>ステ計算型!$B$2</f>
        <v>101</v>
      </c>
      <c r="C120" s="7">
        <f>VLOOKUP(B120,ポイント!$A$1:$D$43,4,FALSE)</f>
        <v>571</v>
      </c>
      <c r="D120" s="2">
        <f>ステ計算型!$B$4</f>
        <v>5</v>
      </c>
      <c r="E120" s="2">
        <f>ステ計算型!$B$6</f>
        <v>127</v>
      </c>
      <c r="F120" s="2">
        <f>ステ計算型!$B$8</f>
        <v>10</v>
      </c>
      <c r="G120" s="2">
        <f>ステ計算型!$B$9</f>
        <v>82</v>
      </c>
      <c r="H120" s="7">
        <f t="shared" si="23"/>
        <v>347</v>
      </c>
      <c r="I120" s="5">
        <f>ステ計算型!$K$3</f>
        <v>7390</v>
      </c>
      <c r="J120" s="5">
        <f>ステ計算型!$N$3</f>
        <v>66</v>
      </c>
      <c r="K120" s="5">
        <v>121</v>
      </c>
      <c r="L120" s="7">
        <f t="shared" si="24"/>
        <v>226</v>
      </c>
      <c r="M120" s="7">
        <f t="shared" si="18"/>
        <v>24317</v>
      </c>
      <c r="N120" s="2">
        <v>1</v>
      </c>
      <c r="O120" s="7">
        <f t="shared" si="16"/>
        <v>0.3</v>
      </c>
      <c r="P120" s="7">
        <f t="shared" si="25"/>
        <v>0.3</v>
      </c>
      <c r="Q120" s="2">
        <f>ステ計算型!$I$29</f>
        <v>1</v>
      </c>
      <c r="R120" s="2">
        <f>ステ計算型!$E$33</f>
        <v>0.2</v>
      </c>
      <c r="S120" s="7">
        <f t="shared" si="26"/>
        <v>3.8519999999999999</v>
      </c>
      <c r="T120" s="2">
        <f>ステ計算型!$I$27</f>
        <v>1.1000000000000001</v>
      </c>
      <c r="U120" s="2">
        <f>ステ計算型!$J$29</f>
        <v>2</v>
      </c>
      <c r="V120" s="2">
        <f>ステ計算型!$F$32</f>
        <v>0.75</v>
      </c>
      <c r="W120" s="2">
        <f>ステ計算型!$G$34</f>
        <v>1</v>
      </c>
      <c r="X120" s="7">
        <f t="shared" si="22"/>
        <v>74452.331579999998</v>
      </c>
      <c r="Y120" s="7">
        <f t="shared" si="19"/>
        <v>400</v>
      </c>
      <c r="Z120" s="7">
        <f t="shared" si="20"/>
        <v>1</v>
      </c>
      <c r="AA120" s="38">
        <f>IF(L120&lt;ステ計算型!$A$20,0,1)</f>
        <v>0</v>
      </c>
      <c r="AB120" s="3">
        <f t="shared" si="21"/>
        <v>0</v>
      </c>
    </row>
    <row r="121" spans="1:28" ht="8.25" customHeight="1">
      <c r="A121" s="3">
        <f t="shared" si="17"/>
        <v>0</v>
      </c>
      <c r="B121" s="2">
        <f>ステ計算型!$B$2</f>
        <v>101</v>
      </c>
      <c r="C121" s="7">
        <f>VLOOKUP(B121,ポイント!$A$1:$D$43,4,FALSE)</f>
        <v>571</v>
      </c>
      <c r="D121" s="2">
        <f>ステ計算型!$B$4</f>
        <v>5</v>
      </c>
      <c r="E121" s="2">
        <f>ステ計算型!$B$6</f>
        <v>127</v>
      </c>
      <c r="F121" s="2">
        <f>ステ計算型!$B$8</f>
        <v>10</v>
      </c>
      <c r="G121" s="2">
        <f>ステ計算型!$B$9</f>
        <v>82</v>
      </c>
      <c r="H121" s="7">
        <f t="shared" si="23"/>
        <v>347</v>
      </c>
      <c r="I121" s="5">
        <f>ステ計算型!$K$3</f>
        <v>7390</v>
      </c>
      <c r="J121" s="5">
        <f>ステ計算型!$N$3</f>
        <v>66</v>
      </c>
      <c r="K121" s="5">
        <v>122</v>
      </c>
      <c r="L121" s="7">
        <f t="shared" si="24"/>
        <v>225</v>
      </c>
      <c r="M121" s="7">
        <f t="shared" si="18"/>
        <v>24242</v>
      </c>
      <c r="N121" s="2">
        <v>1</v>
      </c>
      <c r="O121" s="7">
        <f t="shared" si="16"/>
        <v>0.3</v>
      </c>
      <c r="P121" s="7">
        <f t="shared" si="25"/>
        <v>0.3</v>
      </c>
      <c r="Q121" s="2">
        <f>ステ計算型!$I$29</f>
        <v>1</v>
      </c>
      <c r="R121" s="2">
        <f>ステ計算型!$E$33</f>
        <v>0.2</v>
      </c>
      <c r="S121" s="7">
        <f t="shared" si="26"/>
        <v>3.8639999999999994</v>
      </c>
      <c r="T121" s="2">
        <f>ステ計算型!$I$27</f>
        <v>1.1000000000000001</v>
      </c>
      <c r="U121" s="2">
        <f>ステ計算型!$J$29</f>
        <v>2</v>
      </c>
      <c r="V121" s="2">
        <f>ステ計算型!$F$32</f>
        <v>0.75</v>
      </c>
      <c r="W121" s="2">
        <f>ステ計算型!$G$34</f>
        <v>1</v>
      </c>
      <c r="X121" s="7">
        <f t="shared" si="22"/>
        <v>74366.69855999999</v>
      </c>
      <c r="Y121" s="7">
        <f t="shared" si="19"/>
        <v>400</v>
      </c>
      <c r="Z121" s="7">
        <f t="shared" si="20"/>
        <v>1</v>
      </c>
      <c r="AA121" s="38">
        <f>IF(L121&lt;ステ計算型!$A$20,0,1)</f>
        <v>0</v>
      </c>
      <c r="AB121" s="3">
        <f t="shared" si="21"/>
        <v>0</v>
      </c>
    </row>
    <row r="122" spans="1:28" ht="8.25" customHeight="1">
      <c r="A122" s="3">
        <f t="shared" si="17"/>
        <v>0</v>
      </c>
      <c r="B122" s="2">
        <f>ステ計算型!$B$2</f>
        <v>101</v>
      </c>
      <c r="C122" s="7">
        <f>VLOOKUP(B122,ポイント!$A$1:$D$43,4,FALSE)</f>
        <v>571</v>
      </c>
      <c r="D122" s="2">
        <f>ステ計算型!$B$4</f>
        <v>5</v>
      </c>
      <c r="E122" s="2">
        <f>ステ計算型!$B$6</f>
        <v>127</v>
      </c>
      <c r="F122" s="2">
        <f>ステ計算型!$B$8</f>
        <v>10</v>
      </c>
      <c r="G122" s="2">
        <f>ステ計算型!$B$9</f>
        <v>82</v>
      </c>
      <c r="H122" s="7">
        <f t="shared" si="23"/>
        <v>347</v>
      </c>
      <c r="I122" s="5">
        <f>ステ計算型!$K$3</f>
        <v>7390</v>
      </c>
      <c r="J122" s="5">
        <f>ステ計算型!$N$3</f>
        <v>66</v>
      </c>
      <c r="K122" s="5">
        <v>123</v>
      </c>
      <c r="L122" s="7">
        <f t="shared" si="24"/>
        <v>224</v>
      </c>
      <c r="M122" s="7">
        <f t="shared" si="18"/>
        <v>24167</v>
      </c>
      <c r="N122" s="2">
        <v>1</v>
      </c>
      <c r="O122" s="7">
        <f t="shared" si="16"/>
        <v>0.3</v>
      </c>
      <c r="P122" s="7">
        <f t="shared" si="25"/>
        <v>0.3</v>
      </c>
      <c r="Q122" s="2">
        <f>ステ計算型!$I$29</f>
        <v>1</v>
      </c>
      <c r="R122" s="2">
        <f>ステ計算型!$E$33</f>
        <v>0.2</v>
      </c>
      <c r="S122" s="7">
        <f t="shared" si="26"/>
        <v>3.8759999999999999</v>
      </c>
      <c r="T122" s="2">
        <f>ステ計算型!$I$27</f>
        <v>1.1000000000000001</v>
      </c>
      <c r="U122" s="2">
        <f>ステ計算型!$J$29</f>
        <v>2</v>
      </c>
      <c r="V122" s="2">
        <f>ステ計算型!$F$32</f>
        <v>0.75</v>
      </c>
      <c r="W122" s="2">
        <f>ステ計算型!$G$34</f>
        <v>1</v>
      </c>
      <c r="X122" s="7">
        <f t="shared" si="22"/>
        <v>74280.174540000007</v>
      </c>
      <c r="Y122" s="7">
        <f t="shared" si="19"/>
        <v>400</v>
      </c>
      <c r="Z122" s="7">
        <f t="shared" si="20"/>
        <v>1</v>
      </c>
      <c r="AA122" s="38">
        <f>IF(L122&lt;ステ計算型!$A$20,0,1)</f>
        <v>0</v>
      </c>
      <c r="AB122" s="3">
        <f t="shared" si="21"/>
        <v>0</v>
      </c>
    </row>
    <row r="123" spans="1:28" ht="8.25" customHeight="1">
      <c r="A123" s="3">
        <f t="shared" si="17"/>
        <v>0</v>
      </c>
      <c r="B123" s="2">
        <f>ステ計算型!$B$2</f>
        <v>101</v>
      </c>
      <c r="C123" s="7">
        <f>VLOOKUP(B123,ポイント!$A$1:$D$43,4,FALSE)</f>
        <v>571</v>
      </c>
      <c r="D123" s="2">
        <f>ステ計算型!$B$4</f>
        <v>5</v>
      </c>
      <c r="E123" s="2">
        <f>ステ計算型!$B$6</f>
        <v>127</v>
      </c>
      <c r="F123" s="2">
        <f>ステ計算型!$B$8</f>
        <v>10</v>
      </c>
      <c r="G123" s="2">
        <f>ステ計算型!$B$9</f>
        <v>82</v>
      </c>
      <c r="H123" s="7">
        <f t="shared" si="23"/>
        <v>347</v>
      </c>
      <c r="I123" s="5">
        <f>ステ計算型!$K$3</f>
        <v>7390</v>
      </c>
      <c r="J123" s="5">
        <f>ステ計算型!$N$3</f>
        <v>66</v>
      </c>
      <c r="K123" s="5">
        <v>124</v>
      </c>
      <c r="L123" s="7">
        <f t="shared" si="24"/>
        <v>223</v>
      </c>
      <c r="M123" s="7">
        <f t="shared" si="18"/>
        <v>24092</v>
      </c>
      <c r="N123" s="2">
        <v>1</v>
      </c>
      <c r="O123" s="7">
        <f t="shared" si="16"/>
        <v>0.3</v>
      </c>
      <c r="P123" s="7">
        <f t="shared" si="25"/>
        <v>0.3</v>
      </c>
      <c r="Q123" s="2">
        <f>ステ計算型!$I$29</f>
        <v>1</v>
      </c>
      <c r="R123" s="2">
        <f>ステ計算型!$E$33</f>
        <v>0.2</v>
      </c>
      <c r="S123" s="7">
        <f t="shared" si="26"/>
        <v>3.8879999999999999</v>
      </c>
      <c r="T123" s="2">
        <f>ステ計算型!$I$27</f>
        <v>1.1000000000000001</v>
      </c>
      <c r="U123" s="2">
        <f>ステ計算型!$J$29</f>
        <v>2</v>
      </c>
      <c r="V123" s="2">
        <f>ステ計算型!$F$32</f>
        <v>0.75</v>
      </c>
      <c r="W123" s="2">
        <f>ステ計算型!$G$34</f>
        <v>1</v>
      </c>
      <c r="X123" s="7">
        <f t="shared" si="22"/>
        <v>74192.759520000007</v>
      </c>
      <c r="Y123" s="7">
        <f t="shared" si="19"/>
        <v>400</v>
      </c>
      <c r="Z123" s="7">
        <f t="shared" si="20"/>
        <v>1</v>
      </c>
      <c r="AA123" s="38">
        <f>IF(L123&lt;ステ計算型!$A$20,0,1)</f>
        <v>0</v>
      </c>
      <c r="AB123" s="3">
        <f t="shared" si="21"/>
        <v>0</v>
      </c>
    </row>
    <row r="124" spans="1:28" ht="8.25" customHeight="1">
      <c r="A124" s="3">
        <f t="shared" si="17"/>
        <v>0</v>
      </c>
      <c r="B124" s="2">
        <f>ステ計算型!$B$2</f>
        <v>101</v>
      </c>
      <c r="C124" s="7">
        <f>VLOOKUP(B124,ポイント!$A$1:$D$43,4,FALSE)</f>
        <v>571</v>
      </c>
      <c r="D124" s="2">
        <f>ステ計算型!$B$4</f>
        <v>5</v>
      </c>
      <c r="E124" s="2">
        <f>ステ計算型!$B$6</f>
        <v>127</v>
      </c>
      <c r="F124" s="2">
        <f>ステ計算型!$B$8</f>
        <v>10</v>
      </c>
      <c r="G124" s="2">
        <f>ステ計算型!$B$9</f>
        <v>82</v>
      </c>
      <c r="H124" s="7">
        <f t="shared" si="23"/>
        <v>347</v>
      </c>
      <c r="I124" s="5">
        <f>ステ計算型!$K$3</f>
        <v>7390</v>
      </c>
      <c r="J124" s="5">
        <f>ステ計算型!$N$3</f>
        <v>66</v>
      </c>
      <c r="K124" s="5">
        <v>125</v>
      </c>
      <c r="L124" s="7">
        <f t="shared" si="24"/>
        <v>222</v>
      </c>
      <c r="M124" s="7">
        <f t="shared" si="18"/>
        <v>24017</v>
      </c>
      <c r="N124" s="2">
        <v>1</v>
      </c>
      <c r="O124" s="7">
        <f t="shared" si="16"/>
        <v>0.3</v>
      </c>
      <c r="P124" s="7">
        <f t="shared" si="25"/>
        <v>0.3</v>
      </c>
      <c r="Q124" s="2">
        <f>ステ計算型!$I$29</f>
        <v>1</v>
      </c>
      <c r="R124" s="2">
        <f>ステ計算型!$E$33</f>
        <v>0.2</v>
      </c>
      <c r="S124" s="7">
        <f t="shared" si="26"/>
        <v>3.9</v>
      </c>
      <c r="T124" s="2">
        <f>ステ計算型!$I$27</f>
        <v>1.1000000000000001</v>
      </c>
      <c r="U124" s="2">
        <f>ステ計算型!$J$29</f>
        <v>2</v>
      </c>
      <c r="V124" s="2">
        <f>ステ計算型!$F$32</f>
        <v>0.75</v>
      </c>
      <c r="W124" s="2">
        <f>ステ計算型!$G$34</f>
        <v>1</v>
      </c>
      <c r="X124" s="7">
        <f t="shared" si="22"/>
        <v>74104.453500000003</v>
      </c>
      <c r="Y124" s="7">
        <f t="shared" si="19"/>
        <v>400</v>
      </c>
      <c r="Z124" s="7">
        <f t="shared" si="20"/>
        <v>1</v>
      </c>
      <c r="AA124" s="38">
        <f>IF(L124&lt;ステ計算型!$A$20,0,1)</f>
        <v>0</v>
      </c>
      <c r="AB124" s="3">
        <f t="shared" si="21"/>
        <v>0</v>
      </c>
    </row>
    <row r="125" spans="1:28" ht="8.25" customHeight="1">
      <c r="A125" s="3">
        <f t="shared" si="17"/>
        <v>0</v>
      </c>
      <c r="B125" s="2">
        <f>ステ計算型!$B$2</f>
        <v>101</v>
      </c>
      <c r="C125" s="7">
        <f>VLOOKUP(B125,ポイント!$A$1:$D$43,4,FALSE)</f>
        <v>571</v>
      </c>
      <c r="D125" s="2">
        <f>ステ計算型!$B$4</f>
        <v>5</v>
      </c>
      <c r="E125" s="2">
        <f>ステ計算型!$B$6</f>
        <v>127</v>
      </c>
      <c r="F125" s="2">
        <f>ステ計算型!$B$8</f>
        <v>10</v>
      </c>
      <c r="G125" s="2">
        <f>ステ計算型!$B$9</f>
        <v>82</v>
      </c>
      <c r="H125" s="7">
        <f t="shared" si="23"/>
        <v>347</v>
      </c>
      <c r="I125" s="5">
        <f>ステ計算型!$K$3</f>
        <v>7390</v>
      </c>
      <c r="J125" s="5">
        <f>ステ計算型!$N$3</f>
        <v>66</v>
      </c>
      <c r="K125" s="5">
        <v>126</v>
      </c>
      <c r="L125" s="7">
        <f t="shared" si="24"/>
        <v>221</v>
      </c>
      <c r="M125" s="7">
        <f t="shared" si="18"/>
        <v>23942</v>
      </c>
      <c r="N125" s="2">
        <v>1</v>
      </c>
      <c r="O125" s="7">
        <f t="shared" si="16"/>
        <v>0.3</v>
      </c>
      <c r="P125" s="7">
        <f t="shared" si="25"/>
        <v>0.3</v>
      </c>
      <c r="Q125" s="2">
        <f>ステ計算型!$I$29</f>
        <v>1</v>
      </c>
      <c r="R125" s="2">
        <f>ステ計算型!$E$33</f>
        <v>0.2</v>
      </c>
      <c r="S125" s="7">
        <f t="shared" si="26"/>
        <v>3.9119999999999995</v>
      </c>
      <c r="T125" s="2">
        <f>ステ計算型!$I$27</f>
        <v>1.1000000000000001</v>
      </c>
      <c r="U125" s="2">
        <f>ステ計算型!$J$29</f>
        <v>2</v>
      </c>
      <c r="V125" s="2">
        <f>ステ計算型!$F$32</f>
        <v>0.75</v>
      </c>
      <c r="W125" s="2">
        <f>ステ計算型!$G$34</f>
        <v>1</v>
      </c>
      <c r="X125" s="7">
        <f t="shared" si="22"/>
        <v>74015.256479999982</v>
      </c>
      <c r="Y125" s="7">
        <f t="shared" si="19"/>
        <v>400</v>
      </c>
      <c r="Z125" s="7">
        <f t="shared" si="20"/>
        <v>1</v>
      </c>
      <c r="AA125" s="38">
        <f>IF(L125&lt;ステ計算型!$A$20,0,1)</f>
        <v>0</v>
      </c>
      <c r="AB125" s="3">
        <f t="shared" si="21"/>
        <v>0</v>
      </c>
    </row>
    <row r="126" spans="1:28" ht="8.25" customHeight="1">
      <c r="A126" s="3">
        <f t="shared" si="17"/>
        <v>0</v>
      </c>
      <c r="B126" s="2">
        <f>ステ計算型!$B$2</f>
        <v>101</v>
      </c>
      <c r="C126" s="7">
        <f>VLOOKUP(B126,ポイント!$A$1:$D$43,4,FALSE)</f>
        <v>571</v>
      </c>
      <c r="D126" s="2">
        <f>ステ計算型!$B$4</f>
        <v>5</v>
      </c>
      <c r="E126" s="2">
        <f>ステ計算型!$B$6</f>
        <v>127</v>
      </c>
      <c r="F126" s="2">
        <f>ステ計算型!$B$8</f>
        <v>10</v>
      </c>
      <c r="G126" s="2">
        <f>ステ計算型!$B$9</f>
        <v>82</v>
      </c>
      <c r="H126" s="7">
        <f t="shared" si="23"/>
        <v>347</v>
      </c>
      <c r="I126" s="5">
        <f>ステ計算型!$K$3</f>
        <v>7390</v>
      </c>
      <c r="J126" s="5">
        <f>ステ計算型!$N$3</f>
        <v>66</v>
      </c>
      <c r="K126" s="5">
        <v>127</v>
      </c>
      <c r="L126" s="7">
        <f t="shared" si="24"/>
        <v>220</v>
      </c>
      <c r="M126" s="7">
        <f t="shared" si="18"/>
        <v>23868</v>
      </c>
      <c r="N126" s="2">
        <v>1</v>
      </c>
      <c r="O126" s="7">
        <f t="shared" si="16"/>
        <v>0.3</v>
      </c>
      <c r="P126" s="7">
        <f t="shared" si="25"/>
        <v>0.3</v>
      </c>
      <c r="Q126" s="2">
        <f>ステ計算型!$I$29</f>
        <v>1</v>
      </c>
      <c r="R126" s="2">
        <f>ステ計算型!$E$33</f>
        <v>0.2</v>
      </c>
      <c r="S126" s="7">
        <f t="shared" si="26"/>
        <v>3.9239999999999999</v>
      </c>
      <c r="T126" s="2">
        <f>ステ計算型!$I$27</f>
        <v>1.1000000000000001</v>
      </c>
      <c r="U126" s="2">
        <f>ステ計算型!$J$29</f>
        <v>2</v>
      </c>
      <c r="V126" s="2">
        <f>ステ計算型!$F$32</f>
        <v>0.75</v>
      </c>
      <c r="W126" s="2">
        <f>ステ計算型!$G$34</f>
        <v>1</v>
      </c>
      <c r="X126" s="7">
        <f t="shared" si="22"/>
        <v>73928.265840000007</v>
      </c>
      <c r="Y126" s="7">
        <f t="shared" si="19"/>
        <v>400</v>
      </c>
      <c r="Z126" s="7">
        <f t="shared" si="20"/>
        <v>1</v>
      </c>
      <c r="AA126" s="38">
        <f>IF(L126&lt;ステ計算型!$A$20,0,1)</f>
        <v>0</v>
      </c>
      <c r="AB126" s="3">
        <f t="shared" si="21"/>
        <v>0</v>
      </c>
    </row>
    <row r="127" spans="1:28" ht="8.25" customHeight="1">
      <c r="A127" s="3">
        <f t="shared" si="17"/>
        <v>0</v>
      </c>
      <c r="B127" s="2">
        <f>ステ計算型!$B$2</f>
        <v>101</v>
      </c>
      <c r="C127" s="7">
        <f>VLOOKUP(B127,ポイント!$A$1:$D$43,4,FALSE)</f>
        <v>571</v>
      </c>
      <c r="D127" s="2">
        <f>ステ計算型!$B$4</f>
        <v>5</v>
      </c>
      <c r="E127" s="2">
        <f>ステ計算型!$B$6</f>
        <v>127</v>
      </c>
      <c r="F127" s="2">
        <f>ステ計算型!$B$8</f>
        <v>10</v>
      </c>
      <c r="G127" s="2">
        <f>ステ計算型!$B$9</f>
        <v>82</v>
      </c>
      <c r="H127" s="7">
        <f t="shared" si="23"/>
        <v>347</v>
      </c>
      <c r="I127" s="5">
        <f>ステ計算型!$K$3</f>
        <v>7390</v>
      </c>
      <c r="J127" s="5">
        <f>ステ計算型!$N$3</f>
        <v>66</v>
      </c>
      <c r="K127" s="5">
        <v>128</v>
      </c>
      <c r="L127" s="7">
        <f t="shared" si="24"/>
        <v>219</v>
      </c>
      <c r="M127" s="7">
        <f t="shared" si="18"/>
        <v>23793</v>
      </c>
      <c r="N127" s="2">
        <v>1</v>
      </c>
      <c r="O127" s="7">
        <f t="shared" si="16"/>
        <v>0.31</v>
      </c>
      <c r="P127" s="7">
        <f t="shared" si="25"/>
        <v>0.31</v>
      </c>
      <c r="Q127" s="2">
        <f>ステ計算型!$I$29</f>
        <v>1</v>
      </c>
      <c r="R127" s="2">
        <f>ステ計算型!$E$33</f>
        <v>0.2</v>
      </c>
      <c r="S127" s="7">
        <f t="shared" si="26"/>
        <v>3.9359999999999999</v>
      </c>
      <c r="T127" s="2">
        <f>ステ計算型!$I$27</f>
        <v>1.1000000000000001</v>
      </c>
      <c r="U127" s="2">
        <f>ステ計算型!$J$29</f>
        <v>2</v>
      </c>
      <c r="V127" s="2">
        <f>ステ計算型!$F$32</f>
        <v>0.75</v>
      </c>
      <c r="W127" s="2">
        <f>ステ計算型!$G$34</f>
        <v>1</v>
      </c>
      <c r="X127" s="7">
        <f t="shared" si="22"/>
        <v>74989.920851999996</v>
      </c>
      <c r="Y127" s="7">
        <f t="shared" si="19"/>
        <v>400</v>
      </c>
      <c r="Z127" s="7">
        <f t="shared" si="20"/>
        <v>1</v>
      </c>
      <c r="AA127" s="38">
        <f>IF(L127&lt;ステ計算型!$A$20,0,1)</f>
        <v>0</v>
      </c>
      <c r="AB127" s="3">
        <f t="shared" si="21"/>
        <v>0</v>
      </c>
    </row>
    <row r="128" spans="1:28" ht="8.25" customHeight="1">
      <c r="A128" s="3">
        <f t="shared" si="17"/>
        <v>0</v>
      </c>
      <c r="B128" s="2">
        <f>ステ計算型!$B$2</f>
        <v>101</v>
      </c>
      <c r="C128" s="7">
        <f>VLOOKUP(B128,ポイント!$A$1:$D$43,4,FALSE)</f>
        <v>571</v>
      </c>
      <c r="D128" s="2">
        <f>ステ計算型!$B$4</f>
        <v>5</v>
      </c>
      <c r="E128" s="2">
        <f>ステ計算型!$B$6</f>
        <v>127</v>
      </c>
      <c r="F128" s="2">
        <f>ステ計算型!$B$8</f>
        <v>10</v>
      </c>
      <c r="G128" s="2">
        <f>ステ計算型!$B$9</f>
        <v>82</v>
      </c>
      <c r="H128" s="7">
        <f t="shared" si="23"/>
        <v>347</v>
      </c>
      <c r="I128" s="5">
        <f>ステ計算型!$K$3</f>
        <v>7390</v>
      </c>
      <c r="J128" s="5">
        <f>ステ計算型!$N$3</f>
        <v>66</v>
      </c>
      <c r="K128" s="5">
        <v>129</v>
      </c>
      <c r="L128" s="7">
        <f t="shared" si="24"/>
        <v>218</v>
      </c>
      <c r="M128" s="7">
        <f t="shared" si="18"/>
        <v>23718</v>
      </c>
      <c r="N128" s="2">
        <v>1</v>
      </c>
      <c r="O128" s="7">
        <f t="shared" si="16"/>
        <v>0.31</v>
      </c>
      <c r="P128" s="7">
        <f t="shared" si="25"/>
        <v>0.31</v>
      </c>
      <c r="Q128" s="2">
        <f>ステ計算型!$I$29</f>
        <v>1</v>
      </c>
      <c r="R128" s="2">
        <f>ステ計算型!$E$33</f>
        <v>0.2</v>
      </c>
      <c r="S128" s="7">
        <f t="shared" si="26"/>
        <v>3.948</v>
      </c>
      <c r="T128" s="2">
        <f>ステ計算型!$I$27</f>
        <v>1.1000000000000001</v>
      </c>
      <c r="U128" s="2">
        <f>ステ計算型!$J$29</f>
        <v>2</v>
      </c>
      <c r="V128" s="2">
        <f>ステ計算型!$F$32</f>
        <v>0.75</v>
      </c>
      <c r="W128" s="2">
        <f>ステ計算型!$G$34</f>
        <v>1</v>
      </c>
      <c r="X128" s="7">
        <f t="shared" si="22"/>
        <v>74899.119636000018</v>
      </c>
      <c r="Y128" s="7">
        <f t="shared" si="19"/>
        <v>400</v>
      </c>
      <c r="Z128" s="7">
        <f t="shared" si="20"/>
        <v>1</v>
      </c>
      <c r="AA128" s="38">
        <f>IF(L128&lt;ステ計算型!$A$20,0,1)</f>
        <v>0</v>
      </c>
      <c r="AB128" s="3">
        <f t="shared" si="21"/>
        <v>0</v>
      </c>
    </row>
    <row r="129" spans="1:28" ht="8.25" customHeight="1">
      <c r="A129" s="3">
        <f t="shared" si="17"/>
        <v>0</v>
      </c>
      <c r="B129" s="2">
        <f>ステ計算型!$B$2</f>
        <v>101</v>
      </c>
      <c r="C129" s="7">
        <f>VLOOKUP(B129,ポイント!$A$1:$D$43,4,FALSE)</f>
        <v>571</v>
      </c>
      <c r="D129" s="2">
        <f>ステ計算型!$B$4</f>
        <v>5</v>
      </c>
      <c r="E129" s="2">
        <f>ステ計算型!$B$6</f>
        <v>127</v>
      </c>
      <c r="F129" s="2">
        <f>ステ計算型!$B$8</f>
        <v>10</v>
      </c>
      <c r="G129" s="2">
        <f>ステ計算型!$B$9</f>
        <v>82</v>
      </c>
      <c r="H129" s="7">
        <f t="shared" si="23"/>
        <v>347</v>
      </c>
      <c r="I129" s="5">
        <f>ステ計算型!$K$3</f>
        <v>7390</v>
      </c>
      <c r="J129" s="5">
        <f>ステ計算型!$N$3</f>
        <v>66</v>
      </c>
      <c r="K129" s="5">
        <v>130</v>
      </c>
      <c r="L129" s="7">
        <f t="shared" si="24"/>
        <v>217</v>
      </c>
      <c r="M129" s="7">
        <f t="shared" si="18"/>
        <v>23643</v>
      </c>
      <c r="N129" s="2">
        <v>1</v>
      </c>
      <c r="O129" s="7">
        <f t="shared" si="16"/>
        <v>0.31</v>
      </c>
      <c r="P129" s="7">
        <f t="shared" si="25"/>
        <v>0.31</v>
      </c>
      <c r="Q129" s="2">
        <f>ステ計算型!$I$29</f>
        <v>1</v>
      </c>
      <c r="R129" s="2">
        <f>ステ計算型!$E$33</f>
        <v>0.2</v>
      </c>
      <c r="S129" s="7">
        <f t="shared" si="26"/>
        <v>3.9599999999999995</v>
      </c>
      <c r="T129" s="2">
        <f>ステ計算型!$I$27</f>
        <v>1.1000000000000001</v>
      </c>
      <c r="U129" s="2">
        <f>ステ計算型!$J$29</f>
        <v>2</v>
      </c>
      <c r="V129" s="2">
        <f>ステ計算型!$F$32</f>
        <v>0.75</v>
      </c>
      <c r="W129" s="2">
        <f>ステ計算型!$G$34</f>
        <v>1</v>
      </c>
      <c r="X129" s="7">
        <f t="shared" si="22"/>
        <v>74807.397719999994</v>
      </c>
      <c r="Y129" s="7">
        <f t="shared" si="19"/>
        <v>400</v>
      </c>
      <c r="Z129" s="7">
        <f t="shared" si="20"/>
        <v>1</v>
      </c>
      <c r="AA129" s="38">
        <f>IF(L129&lt;ステ計算型!$A$20,0,1)</f>
        <v>0</v>
      </c>
      <c r="AB129" s="3">
        <f t="shared" si="21"/>
        <v>0</v>
      </c>
    </row>
    <row r="130" spans="1:28" ht="8.25" customHeight="1">
      <c r="A130" s="3">
        <f t="shared" si="17"/>
        <v>0</v>
      </c>
      <c r="B130" s="2">
        <f>ステ計算型!$B$2</f>
        <v>101</v>
      </c>
      <c r="C130" s="7">
        <f>VLOOKUP(B130,ポイント!$A$1:$D$43,4,FALSE)</f>
        <v>571</v>
      </c>
      <c r="D130" s="2">
        <f>ステ計算型!$B$4</f>
        <v>5</v>
      </c>
      <c r="E130" s="2">
        <f>ステ計算型!$B$6</f>
        <v>127</v>
      </c>
      <c r="F130" s="2">
        <f>ステ計算型!$B$8</f>
        <v>10</v>
      </c>
      <c r="G130" s="2">
        <f>ステ計算型!$B$9</f>
        <v>82</v>
      </c>
      <c r="H130" s="7">
        <f t="shared" si="23"/>
        <v>347</v>
      </c>
      <c r="I130" s="5">
        <f>ステ計算型!$K$3</f>
        <v>7390</v>
      </c>
      <c r="J130" s="5">
        <f>ステ計算型!$N$3</f>
        <v>66</v>
      </c>
      <c r="K130" s="5">
        <v>131</v>
      </c>
      <c r="L130" s="7">
        <f t="shared" si="24"/>
        <v>216</v>
      </c>
      <c r="M130" s="7">
        <f t="shared" si="18"/>
        <v>23568</v>
      </c>
      <c r="N130" s="2">
        <v>1</v>
      </c>
      <c r="O130" s="7">
        <f t="shared" si="16"/>
        <v>0.31</v>
      </c>
      <c r="P130" s="7">
        <f t="shared" si="25"/>
        <v>0.31</v>
      </c>
      <c r="Q130" s="2">
        <f>ステ計算型!$I$29</f>
        <v>1</v>
      </c>
      <c r="R130" s="2">
        <f>ステ計算型!$E$33</f>
        <v>0.2</v>
      </c>
      <c r="S130" s="7">
        <f t="shared" si="26"/>
        <v>3.972</v>
      </c>
      <c r="T130" s="2">
        <f>ステ計算型!$I$27</f>
        <v>1.1000000000000001</v>
      </c>
      <c r="U130" s="2">
        <f>ステ計算型!$J$29</f>
        <v>2</v>
      </c>
      <c r="V130" s="2">
        <f>ステ計算型!$F$32</f>
        <v>0.75</v>
      </c>
      <c r="W130" s="2">
        <f>ステ計算型!$G$34</f>
        <v>1</v>
      </c>
      <c r="X130" s="7">
        <f t="shared" si="22"/>
        <v>74714.755104000011</v>
      </c>
      <c r="Y130" s="7">
        <f t="shared" si="19"/>
        <v>400</v>
      </c>
      <c r="Z130" s="7">
        <f t="shared" si="20"/>
        <v>1</v>
      </c>
      <c r="AA130" s="38">
        <f>IF(L130&lt;ステ計算型!$A$20,0,1)</f>
        <v>0</v>
      </c>
      <c r="AB130" s="3">
        <f t="shared" si="21"/>
        <v>0</v>
      </c>
    </row>
    <row r="131" spans="1:28" ht="8.25" customHeight="1">
      <c r="A131" s="3">
        <f t="shared" si="17"/>
        <v>0</v>
      </c>
      <c r="B131" s="2">
        <f>ステ計算型!$B$2</f>
        <v>101</v>
      </c>
      <c r="C131" s="7">
        <f>VLOOKUP(B131,ポイント!$A$1:$D$43,4,FALSE)</f>
        <v>571</v>
      </c>
      <c r="D131" s="2">
        <f>ステ計算型!$B$4</f>
        <v>5</v>
      </c>
      <c r="E131" s="2">
        <f>ステ計算型!$B$6</f>
        <v>127</v>
      </c>
      <c r="F131" s="2">
        <f>ステ計算型!$B$8</f>
        <v>10</v>
      </c>
      <c r="G131" s="2">
        <f>ステ計算型!$B$9</f>
        <v>82</v>
      </c>
      <c r="H131" s="7">
        <f t="shared" si="23"/>
        <v>347</v>
      </c>
      <c r="I131" s="5">
        <f>ステ計算型!$K$3</f>
        <v>7390</v>
      </c>
      <c r="J131" s="5">
        <f>ステ計算型!$N$3</f>
        <v>66</v>
      </c>
      <c r="K131" s="5">
        <v>132</v>
      </c>
      <c r="L131" s="7">
        <f t="shared" si="24"/>
        <v>215</v>
      </c>
      <c r="M131" s="7">
        <f t="shared" si="18"/>
        <v>23493</v>
      </c>
      <c r="N131" s="2">
        <v>1</v>
      </c>
      <c r="O131" s="7">
        <f t="shared" ref="O131:O194" si="27">ROUNDDOWN(((J131*(K131/100+1))/5)+1,0)/100*N131</f>
        <v>0.31</v>
      </c>
      <c r="P131" s="7">
        <f t="shared" si="25"/>
        <v>0.31</v>
      </c>
      <c r="Q131" s="2">
        <f>ステ計算型!$I$29</f>
        <v>1</v>
      </c>
      <c r="R131" s="2">
        <f>ステ計算型!$E$33</f>
        <v>0.2</v>
      </c>
      <c r="S131" s="7">
        <f t="shared" si="26"/>
        <v>3.984</v>
      </c>
      <c r="T131" s="2">
        <f>ステ計算型!$I$27</f>
        <v>1.1000000000000001</v>
      </c>
      <c r="U131" s="2">
        <f>ステ計算型!$J$29</f>
        <v>2</v>
      </c>
      <c r="V131" s="2">
        <f>ステ計算型!$F$32</f>
        <v>0.75</v>
      </c>
      <c r="W131" s="2">
        <f>ステ計算型!$G$34</f>
        <v>1</v>
      </c>
      <c r="X131" s="7">
        <f t="shared" si="22"/>
        <v>74621.191787999996</v>
      </c>
      <c r="Y131" s="7">
        <f t="shared" si="19"/>
        <v>400</v>
      </c>
      <c r="Z131" s="7">
        <f t="shared" si="20"/>
        <v>1</v>
      </c>
      <c r="AA131" s="38">
        <f>IF(L131&lt;ステ計算型!$A$20,0,1)</f>
        <v>0</v>
      </c>
      <c r="AB131" s="3">
        <f t="shared" si="21"/>
        <v>0</v>
      </c>
    </row>
    <row r="132" spans="1:28" ht="8.25" customHeight="1">
      <c r="A132" s="3">
        <f t="shared" si="17"/>
        <v>0</v>
      </c>
      <c r="B132" s="2">
        <f>ステ計算型!$B$2</f>
        <v>101</v>
      </c>
      <c r="C132" s="7">
        <f>VLOOKUP(B132,ポイント!$A$1:$D$43,4,FALSE)</f>
        <v>571</v>
      </c>
      <c r="D132" s="2">
        <f>ステ計算型!$B$4</f>
        <v>5</v>
      </c>
      <c r="E132" s="2">
        <f>ステ計算型!$B$6</f>
        <v>127</v>
      </c>
      <c r="F132" s="2">
        <f>ステ計算型!$B$8</f>
        <v>10</v>
      </c>
      <c r="G132" s="2">
        <f>ステ計算型!$B$9</f>
        <v>82</v>
      </c>
      <c r="H132" s="7">
        <f t="shared" si="23"/>
        <v>347</v>
      </c>
      <c r="I132" s="5">
        <f>ステ計算型!$K$3</f>
        <v>7390</v>
      </c>
      <c r="J132" s="5">
        <f>ステ計算型!$N$3</f>
        <v>66</v>
      </c>
      <c r="K132" s="5">
        <v>133</v>
      </c>
      <c r="L132" s="7">
        <f t="shared" si="24"/>
        <v>214</v>
      </c>
      <c r="M132" s="7">
        <f t="shared" si="18"/>
        <v>23418</v>
      </c>
      <c r="N132" s="2">
        <v>1</v>
      </c>
      <c r="O132" s="7">
        <f t="shared" si="27"/>
        <v>0.31</v>
      </c>
      <c r="P132" s="7">
        <f t="shared" si="25"/>
        <v>0.31</v>
      </c>
      <c r="Q132" s="2">
        <f>ステ計算型!$I$29</f>
        <v>1</v>
      </c>
      <c r="R132" s="2">
        <f>ステ計算型!$E$33</f>
        <v>0.2</v>
      </c>
      <c r="S132" s="7">
        <f t="shared" si="26"/>
        <v>3.996</v>
      </c>
      <c r="T132" s="2">
        <f>ステ計算型!$I$27</f>
        <v>1.1000000000000001</v>
      </c>
      <c r="U132" s="2">
        <f>ステ計算型!$J$29</f>
        <v>2</v>
      </c>
      <c r="V132" s="2">
        <f>ステ計算型!$F$32</f>
        <v>0.75</v>
      </c>
      <c r="W132" s="2">
        <f>ステ計算型!$G$34</f>
        <v>1</v>
      </c>
      <c r="X132" s="7">
        <f t="shared" si="22"/>
        <v>74526.707771999994</v>
      </c>
      <c r="Y132" s="7">
        <f t="shared" si="19"/>
        <v>400</v>
      </c>
      <c r="Z132" s="7">
        <f t="shared" si="20"/>
        <v>1</v>
      </c>
      <c r="AA132" s="38">
        <f>IF(L132&lt;ステ計算型!$A$20,0,1)</f>
        <v>0</v>
      </c>
      <c r="AB132" s="3">
        <f t="shared" si="21"/>
        <v>0</v>
      </c>
    </row>
    <row r="133" spans="1:28" ht="8.25" customHeight="1">
      <c r="A133" s="3">
        <f t="shared" ref="A133:A196" si="28">X133*Z133*AA133</f>
        <v>0</v>
      </c>
      <c r="B133" s="2">
        <f>ステ計算型!$B$2</f>
        <v>101</v>
      </c>
      <c r="C133" s="7">
        <f>VLOOKUP(B133,ポイント!$A$1:$D$43,4,FALSE)</f>
        <v>571</v>
      </c>
      <c r="D133" s="2">
        <f>ステ計算型!$B$4</f>
        <v>5</v>
      </c>
      <c r="E133" s="2">
        <f>ステ計算型!$B$6</f>
        <v>127</v>
      </c>
      <c r="F133" s="2">
        <f>ステ計算型!$B$8</f>
        <v>10</v>
      </c>
      <c r="G133" s="2">
        <f>ステ計算型!$B$9</f>
        <v>82</v>
      </c>
      <c r="H133" s="7">
        <f t="shared" si="23"/>
        <v>347</v>
      </c>
      <c r="I133" s="5">
        <f>ステ計算型!$K$3</f>
        <v>7390</v>
      </c>
      <c r="J133" s="5">
        <f>ステ計算型!$N$3</f>
        <v>66</v>
      </c>
      <c r="K133" s="5">
        <v>134</v>
      </c>
      <c r="L133" s="7">
        <f t="shared" si="24"/>
        <v>213</v>
      </c>
      <c r="M133" s="7">
        <f t="shared" ref="M133:M196" si="29">ROUNDDOWN(I133*(L133/100+1)+L133,0)</f>
        <v>23343</v>
      </c>
      <c r="N133" s="2">
        <v>1</v>
      </c>
      <c r="O133" s="7">
        <f t="shared" si="27"/>
        <v>0.31</v>
      </c>
      <c r="P133" s="7">
        <f t="shared" si="25"/>
        <v>0.31</v>
      </c>
      <c r="Q133" s="2">
        <f>ステ計算型!$I$29</f>
        <v>1</v>
      </c>
      <c r="R133" s="2">
        <f>ステ計算型!$E$33</f>
        <v>0.2</v>
      </c>
      <c r="S133" s="7">
        <f t="shared" si="26"/>
        <v>4.008</v>
      </c>
      <c r="T133" s="2">
        <f>ステ計算型!$I$27</f>
        <v>1.1000000000000001</v>
      </c>
      <c r="U133" s="2">
        <f>ステ計算型!$J$29</f>
        <v>2</v>
      </c>
      <c r="V133" s="2">
        <f>ステ計算型!$F$32</f>
        <v>0.75</v>
      </c>
      <c r="W133" s="2">
        <f>ステ計算型!$G$34</f>
        <v>1</v>
      </c>
      <c r="X133" s="7">
        <f t="shared" si="22"/>
        <v>74431.303056000004</v>
      </c>
      <c r="Y133" s="7">
        <f t="shared" ref="Y133:Y196" si="30">IF(B133&gt;99,400,350)</f>
        <v>400</v>
      </c>
      <c r="Z133" s="7">
        <f t="shared" ref="Z133:Z196" si="31">IF(L133&gt;Y133,0,1)</f>
        <v>1</v>
      </c>
      <c r="AA133" s="38">
        <f>IF(L133&lt;ステ計算型!$A$20,0,1)</f>
        <v>0</v>
      </c>
      <c r="AB133" s="3">
        <f t="shared" ref="AB133:AB196" si="32">X133*Z133*AA133</f>
        <v>0</v>
      </c>
    </row>
    <row r="134" spans="1:28" ht="8.25" customHeight="1">
      <c r="A134" s="3">
        <f t="shared" si="28"/>
        <v>0</v>
      </c>
      <c r="B134" s="2">
        <f>ステ計算型!$B$2</f>
        <v>101</v>
      </c>
      <c r="C134" s="7">
        <f>VLOOKUP(B134,ポイント!$A$1:$D$43,4,FALSE)</f>
        <v>571</v>
      </c>
      <c r="D134" s="2">
        <f>ステ計算型!$B$4</f>
        <v>5</v>
      </c>
      <c r="E134" s="2">
        <f>ステ計算型!$B$6</f>
        <v>127</v>
      </c>
      <c r="F134" s="2">
        <f>ステ計算型!$B$8</f>
        <v>10</v>
      </c>
      <c r="G134" s="2">
        <f>ステ計算型!$B$9</f>
        <v>82</v>
      </c>
      <c r="H134" s="7">
        <f t="shared" si="23"/>
        <v>347</v>
      </c>
      <c r="I134" s="5">
        <f>ステ計算型!$K$3</f>
        <v>7390</v>
      </c>
      <c r="J134" s="5">
        <f>ステ計算型!$N$3</f>
        <v>66</v>
      </c>
      <c r="K134" s="5">
        <v>135</v>
      </c>
      <c r="L134" s="7">
        <f t="shared" si="24"/>
        <v>212</v>
      </c>
      <c r="M134" s="7">
        <f t="shared" si="29"/>
        <v>23268</v>
      </c>
      <c r="N134" s="2">
        <v>1</v>
      </c>
      <c r="O134" s="7">
        <f t="shared" si="27"/>
        <v>0.32</v>
      </c>
      <c r="P134" s="7">
        <f t="shared" si="25"/>
        <v>0.32</v>
      </c>
      <c r="Q134" s="2">
        <f>ステ計算型!$I$29</f>
        <v>1</v>
      </c>
      <c r="R134" s="2">
        <f>ステ計算型!$E$33</f>
        <v>0.2</v>
      </c>
      <c r="S134" s="7">
        <f t="shared" si="26"/>
        <v>4.0199999999999996</v>
      </c>
      <c r="T134" s="2">
        <f>ステ計算型!$I$27</f>
        <v>1.1000000000000001</v>
      </c>
      <c r="U134" s="2">
        <f>ステ計算型!$J$29</f>
        <v>2</v>
      </c>
      <c r="V134" s="2">
        <f>ステ計算型!$F$32</f>
        <v>0.75</v>
      </c>
      <c r="W134" s="2">
        <f>ステ計算型!$G$34</f>
        <v>1</v>
      </c>
      <c r="X134" s="7">
        <f t="shared" si="22"/>
        <v>75494.422079999989</v>
      </c>
      <c r="Y134" s="7">
        <f t="shared" si="30"/>
        <v>400</v>
      </c>
      <c r="Z134" s="7">
        <f t="shared" si="31"/>
        <v>1</v>
      </c>
      <c r="AA134" s="38">
        <f>IF(L134&lt;ステ計算型!$A$20,0,1)</f>
        <v>0</v>
      </c>
      <c r="AB134" s="3">
        <f t="shared" si="32"/>
        <v>0</v>
      </c>
    </row>
    <row r="135" spans="1:28" ht="8.25" customHeight="1">
      <c r="A135" s="3">
        <f t="shared" si="28"/>
        <v>0</v>
      </c>
      <c r="B135" s="2">
        <f>ステ計算型!$B$2</f>
        <v>101</v>
      </c>
      <c r="C135" s="7">
        <f>VLOOKUP(B135,ポイント!$A$1:$D$43,4,FALSE)</f>
        <v>571</v>
      </c>
      <c r="D135" s="2">
        <f>ステ計算型!$B$4</f>
        <v>5</v>
      </c>
      <c r="E135" s="2">
        <f>ステ計算型!$B$6</f>
        <v>127</v>
      </c>
      <c r="F135" s="2">
        <f>ステ計算型!$B$8</f>
        <v>10</v>
      </c>
      <c r="G135" s="2">
        <f>ステ計算型!$B$9</f>
        <v>82</v>
      </c>
      <c r="H135" s="7">
        <f t="shared" si="23"/>
        <v>347</v>
      </c>
      <c r="I135" s="5">
        <f>ステ計算型!$K$3</f>
        <v>7390</v>
      </c>
      <c r="J135" s="5">
        <f>ステ計算型!$N$3</f>
        <v>66</v>
      </c>
      <c r="K135" s="5">
        <v>136</v>
      </c>
      <c r="L135" s="7">
        <f t="shared" si="24"/>
        <v>211</v>
      </c>
      <c r="M135" s="7">
        <f t="shared" si="29"/>
        <v>23193</v>
      </c>
      <c r="N135" s="2">
        <v>1</v>
      </c>
      <c r="O135" s="7">
        <f t="shared" si="27"/>
        <v>0.32</v>
      </c>
      <c r="P135" s="7">
        <f t="shared" si="25"/>
        <v>0.32</v>
      </c>
      <c r="Q135" s="2">
        <f>ステ計算型!$I$29</f>
        <v>1</v>
      </c>
      <c r="R135" s="2">
        <f>ステ計算型!$E$33</f>
        <v>0.2</v>
      </c>
      <c r="S135" s="7">
        <f t="shared" si="26"/>
        <v>4.032</v>
      </c>
      <c r="T135" s="2">
        <f>ステ計算型!$I$27</f>
        <v>1.1000000000000001</v>
      </c>
      <c r="U135" s="2">
        <f>ステ計算型!$J$29</f>
        <v>2</v>
      </c>
      <c r="V135" s="2">
        <f>ステ計算型!$F$32</f>
        <v>0.75</v>
      </c>
      <c r="W135" s="2">
        <f>ステ計算型!$G$34</f>
        <v>1</v>
      </c>
      <c r="X135" s="7">
        <f t="shared" si="22"/>
        <v>75398.030927999993</v>
      </c>
      <c r="Y135" s="7">
        <f t="shared" si="30"/>
        <v>400</v>
      </c>
      <c r="Z135" s="7">
        <f t="shared" si="31"/>
        <v>1</v>
      </c>
      <c r="AA135" s="38">
        <f>IF(L135&lt;ステ計算型!$A$20,0,1)</f>
        <v>0</v>
      </c>
      <c r="AB135" s="3">
        <f t="shared" si="32"/>
        <v>0</v>
      </c>
    </row>
    <row r="136" spans="1:28" ht="8.25" customHeight="1">
      <c r="A136" s="3">
        <f t="shared" si="28"/>
        <v>0</v>
      </c>
      <c r="B136" s="2">
        <f>ステ計算型!$B$2</f>
        <v>101</v>
      </c>
      <c r="C136" s="7">
        <f>VLOOKUP(B136,ポイント!$A$1:$D$43,4,FALSE)</f>
        <v>571</v>
      </c>
      <c r="D136" s="2">
        <f>ステ計算型!$B$4</f>
        <v>5</v>
      </c>
      <c r="E136" s="2">
        <f>ステ計算型!$B$6</f>
        <v>127</v>
      </c>
      <c r="F136" s="2">
        <f>ステ計算型!$B$8</f>
        <v>10</v>
      </c>
      <c r="G136" s="2">
        <f>ステ計算型!$B$9</f>
        <v>82</v>
      </c>
      <c r="H136" s="7">
        <f t="shared" si="23"/>
        <v>347</v>
      </c>
      <c r="I136" s="5">
        <f>ステ計算型!$K$3</f>
        <v>7390</v>
      </c>
      <c r="J136" s="5">
        <f>ステ計算型!$N$3</f>
        <v>66</v>
      </c>
      <c r="K136" s="5">
        <v>137</v>
      </c>
      <c r="L136" s="7">
        <f t="shared" si="24"/>
        <v>210</v>
      </c>
      <c r="M136" s="7">
        <f t="shared" si="29"/>
        <v>23119</v>
      </c>
      <c r="N136" s="2">
        <v>1</v>
      </c>
      <c r="O136" s="7">
        <f t="shared" si="27"/>
        <v>0.32</v>
      </c>
      <c r="P136" s="7">
        <f t="shared" si="25"/>
        <v>0.32</v>
      </c>
      <c r="Q136" s="2">
        <f>ステ計算型!$I$29</f>
        <v>1</v>
      </c>
      <c r="R136" s="2">
        <f>ステ計算型!$E$33</f>
        <v>0.2</v>
      </c>
      <c r="S136" s="7">
        <f t="shared" si="26"/>
        <v>4.0439999999999996</v>
      </c>
      <c r="T136" s="2">
        <f>ステ計算型!$I$27</f>
        <v>1.1000000000000001</v>
      </c>
      <c r="U136" s="2">
        <f>ステ計算型!$J$29</f>
        <v>2</v>
      </c>
      <c r="V136" s="2">
        <f>ステ計算型!$F$32</f>
        <v>0.75</v>
      </c>
      <c r="W136" s="2">
        <f>ステ計算型!$G$34</f>
        <v>1</v>
      </c>
      <c r="X136" s="7">
        <f t="shared" si="22"/>
        <v>75303.946607999998</v>
      </c>
      <c r="Y136" s="7">
        <f t="shared" si="30"/>
        <v>400</v>
      </c>
      <c r="Z136" s="7">
        <f t="shared" si="31"/>
        <v>1</v>
      </c>
      <c r="AA136" s="38">
        <f>IF(L136&lt;ステ計算型!$A$20,0,1)</f>
        <v>0</v>
      </c>
      <c r="AB136" s="3">
        <f t="shared" si="32"/>
        <v>0</v>
      </c>
    </row>
    <row r="137" spans="1:28" ht="8.25" customHeight="1">
      <c r="A137" s="3">
        <f t="shared" si="28"/>
        <v>0</v>
      </c>
      <c r="B137" s="2">
        <f>ステ計算型!$B$2</f>
        <v>101</v>
      </c>
      <c r="C137" s="7">
        <f>VLOOKUP(B137,ポイント!$A$1:$D$43,4,FALSE)</f>
        <v>571</v>
      </c>
      <c r="D137" s="2">
        <f>ステ計算型!$B$4</f>
        <v>5</v>
      </c>
      <c r="E137" s="2">
        <f>ステ計算型!$B$6</f>
        <v>127</v>
      </c>
      <c r="F137" s="2">
        <f>ステ計算型!$B$8</f>
        <v>10</v>
      </c>
      <c r="G137" s="2">
        <f>ステ計算型!$B$9</f>
        <v>82</v>
      </c>
      <c r="H137" s="7">
        <f t="shared" si="23"/>
        <v>347</v>
      </c>
      <c r="I137" s="5">
        <f>ステ計算型!$K$3</f>
        <v>7390</v>
      </c>
      <c r="J137" s="5">
        <f>ステ計算型!$N$3</f>
        <v>66</v>
      </c>
      <c r="K137" s="5">
        <v>138</v>
      </c>
      <c r="L137" s="7">
        <f t="shared" si="24"/>
        <v>209</v>
      </c>
      <c r="M137" s="7">
        <f t="shared" si="29"/>
        <v>23044</v>
      </c>
      <c r="N137" s="2">
        <v>1</v>
      </c>
      <c r="O137" s="7">
        <f t="shared" si="27"/>
        <v>0.32</v>
      </c>
      <c r="P137" s="7">
        <f t="shared" si="25"/>
        <v>0.32</v>
      </c>
      <c r="Q137" s="2">
        <f>ステ計算型!$I$29</f>
        <v>1</v>
      </c>
      <c r="R137" s="2">
        <f>ステ計算型!$E$33</f>
        <v>0.2</v>
      </c>
      <c r="S137" s="7">
        <f t="shared" si="26"/>
        <v>4.056</v>
      </c>
      <c r="T137" s="2">
        <f>ステ計算型!$I$27</f>
        <v>1.1000000000000001</v>
      </c>
      <c r="U137" s="2">
        <f>ステ計算型!$J$29</f>
        <v>2</v>
      </c>
      <c r="V137" s="2">
        <f>ステ計算型!$F$32</f>
        <v>0.75</v>
      </c>
      <c r="W137" s="2">
        <f>ステ計算型!$G$34</f>
        <v>1</v>
      </c>
      <c r="X137" s="7">
        <f t="shared" si="22"/>
        <v>75205.66099199999</v>
      </c>
      <c r="Y137" s="7">
        <f t="shared" si="30"/>
        <v>400</v>
      </c>
      <c r="Z137" s="7">
        <f t="shared" si="31"/>
        <v>1</v>
      </c>
      <c r="AA137" s="38">
        <f>IF(L137&lt;ステ計算型!$A$20,0,1)</f>
        <v>0</v>
      </c>
      <c r="AB137" s="3">
        <f t="shared" si="32"/>
        <v>0</v>
      </c>
    </row>
    <row r="138" spans="1:28" ht="8.25" customHeight="1">
      <c r="A138" s="3">
        <f t="shared" si="28"/>
        <v>0</v>
      </c>
      <c r="B138" s="2">
        <f>ステ計算型!$B$2</f>
        <v>101</v>
      </c>
      <c r="C138" s="7">
        <f>VLOOKUP(B138,ポイント!$A$1:$D$43,4,FALSE)</f>
        <v>571</v>
      </c>
      <c r="D138" s="2">
        <f>ステ計算型!$B$4</f>
        <v>5</v>
      </c>
      <c r="E138" s="2">
        <f>ステ計算型!$B$6</f>
        <v>127</v>
      </c>
      <c r="F138" s="2">
        <f>ステ計算型!$B$8</f>
        <v>10</v>
      </c>
      <c r="G138" s="2">
        <f>ステ計算型!$B$9</f>
        <v>82</v>
      </c>
      <c r="H138" s="7">
        <f t="shared" si="23"/>
        <v>347</v>
      </c>
      <c r="I138" s="5">
        <f>ステ計算型!$K$3</f>
        <v>7390</v>
      </c>
      <c r="J138" s="5">
        <f>ステ計算型!$N$3</f>
        <v>66</v>
      </c>
      <c r="K138" s="5">
        <v>139</v>
      </c>
      <c r="L138" s="7">
        <f t="shared" si="24"/>
        <v>208</v>
      </c>
      <c r="M138" s="7">
        <f t="shared" si="29"/>
        <v>22969</v>
      </c>
      <c r="N138" s="2">
        <v>1</v>
      </c>
      <c r="O138" s="7">
        <f t="shared" si="27"/>
        <v>0.32</v>
      </c>
      <c r="P138" s="7">
        <f t="shared" si="25"/>
        <v>0.32</v>
      </c>
      <c r="Q138" s="2">
        <f>ステ計算型!$I$29</f>
        <v>1</v>
      </c>
      <c r="R138" s="2">
        <f>ステ計算型!$E$33</f>
        <v>0.2</v>
      </c>
      <c r="S138" s="7">
        <f t="shared" si="26"/>
        <v>4.0679999999999996</v>
      </c>
      <c r="T138" s="2">
        <f>ステ計算型!$I$27</f>
        <v>1.1000000000000001</v>
      </c>
      <c r="U138" s="2">
        <f>ステ計算型!$J$29</f>
        <v>2</v>
      </c>
      <c r="V138" s="2">
        <f>ステ計算型!$F$32</f>
        <v>0.75</v>
      </c>
      <c r="W138" s="2">
        <f>ステ計算型!$G$34</f>
        <v>1</v>
      </c>
      <c r="X138" s="7">
        <f t="shared" si="22"/>
        <v>75106.424975999995</v>
      </c>
      <c r="Y138" s="7">
        <f t="shared" si="30"/>
        <v>400</v>
      </c>
      <c r="Z138" s="7">
        <f t="shared" si="31"/>
        <v>1</v>
      </c>
      <c r="AA138" s="38">
        <f>IF(L138&lt;ステ計算型!$A$20,0,1)</f>
        <v>0</v>
      </c>
      <c r="AB138" s="3">
        <f t="shared" si="32"/>
        <v>0</v>
      </c>
    </row>
    <row r="139" spans="1:28" ht="8.25" customHeight="1">
      <c r="A139" s="3">
        <f t="shared" si="28"/>
        <v>0</v>
      </c>
      <c r="B139" s="2">
        <f>ステ計算型!$B$2</f>
        <v>101</v>
      </c>
      <c r="C139" s="7">
        <f>VLOOKUP(B139,ポイント!$A$1:$D$43,4,FALSE)</f>
        <v>571</v>
      </c>
      <c r="D139" s="2">
        <f>ステ計算型!$B$4</f>
        <v>5</v>
      </c>
      <c r="E139" s="2">
        <f>ステ計算型!$B$6</f>
        <v>127</v>
      </c>
      <c r="F139" s="2">
        <f>ステ計算型!$B$8</f>
        <v>10</v>
      </c>
      <c r="G139" s="2">
        <f>ステ計算型!$B$9</f>
        <v>82</v>
      </c>
      <c r="H139" s="7">
        <f t="shared" si="23"/>
        <v>347</v>
      </c>
      <c r="I139" s="5">
        <f>ステ計算型!$K$3</f>
        <v>7390</v>
      </c>
      <c r="J139" s="5">
        <f>ステ計算型!$N$3</f>
        <v>66</v>
      </c>
      <c r="K139" s="5">
        <v>140</v>
      </c>
      <c r="L139" s="7">
        <f t="shared" si="24"/>
        <v>207</v>
      </c>
      <c r="M139" s="7">
        <f t="shared" si="29"/>
        <v>22894</v>
      </c>
      <c r="N139" s="2">
        <v>1</v>
      </c>
      <c r="O139" s="7">
        <f t="shared" si="27"/>
        <v>0.32</v>
      </c>
      <c r="P139" s="7">
        <f t="shared" si="25"/>
        <v>0.32</v>
      </c>
      <c r="Q139" s="2">
        <f>ステ計算型!$I$29</f>
        <v>1</v>
      </c>
      <c r="R139" s="2">
        <f>ステ計算型!$E$33</f>
        <v>0.2</v>
      </c>
      <c r="S139" s="7">
        <f t="shared" si="26"/>
        <v>4.08</v>
      </c>
      <c r="T139" s="2">
        <f>ステ計算型!$I$27</f>
        <v>1.1000000000000001</v>
      </c>
      <c r="U139" s="2">
        <f>ステ計算型!$J$29</f>
        <v>2</v>
      </c>
      <c r="V139" s="2">
        <f>ステ計算型!$F$32</f>
        <v>0.75</v>
      </c>
      <c r="W139" s="2">
        <f>ステ計算型!$G$34</f>
        <v>1</v>
      </c>
      <c r="X139" s="7">
        <f t="shared" si="22"/>
        <v>75006.238559999998</v>
      </c>
      <c r="Y139" s="7">
        <f t="shared" si="30"/>
        <v>400</v>
      </c>
      <c r="Z139" s="7">
        <f t="shared" si="31"/>
        <v>1</v>
      </c>
      <c r="AA139" s="38">
        <f>IF(L139&lt;ステ計算型!$A$20,0,1)</f>
        <v>0</v>
      </c>
      <c r="AB139" s="3">
        <f t="shared" si="32"/>
        <v>0</v>
      </c>
    </row>
    <row r="140" spans="1:28" ht="8.25" customHeight="1">
      <c r="A140" s="3">
        <f t="shared" si="28"/>
        <v>0</v>
      </c>
      <c r="B140" s="2">
        <f>ステ計算型!$B$2</f>
        <v>101</v>
      </c>
      <c r="C140" s="7">
        <f>VLOOKUP(B140,ポイント!$A$1:$D$43,4,FALSE)</f>
        <v>571</v>
      </c>
      <c r="D140" s="2">
        <f>ステ計算型!$B$4</f>
        <v>5</v>
      </c>
      <c r="E140" s="2">
        <f>ステ計算型!$B$6</f>
        <v>127</v>
      </c>
      <c r="F140" s="2">
        <f>ステ計算型!$B$8</f>
        <v>10</v>
      </c>
      <c r="G140" s="2">
        <f>ステ計算型!$B$9</f>
        <v>82</v>
      </c>
      <c r="H140" s="7">
        <f t="shared" si="23"/>
        <v>347</v>
      </c>
      <c r="I140" s="5">
        <f>ステ計算型!$K$3</f>
        <v>7390</v>
      </c>
      <c r="J140" s="5">
        <f>ステ計算型!$N$3</f>
        <v>66</v>
      </c>
      <c r="K140" s="5">
        <v>141</v>
      </c>
      <c r="L140" s="7">
        <f t="shared" si="24"/>
        <v>206</v>
      </c>
      <c r="M140" s="7">
        <f t="shared" si="29"/>
        <v>22819</v>
      </c>
      <c r="N140" s="2">
        <v>1</v>
      </c>
      <c r="O140" s="7">
        <f t="shared" si="27"/>
        <v>0.32</v>
      </c>
      <c r="P140" s="7">
        <f t="shared" si="25"/>
        <v>0.32</v>
      </c>
      <c r="Q140" s="2">
        <f>ステ計算型!$I$29</f>
        <v>1</v>
      </c>
      <c r="R140" s="2">
        <f>ステ計算型!$E$33</f>
        <v>0.2</v>
      </c>
      <c r="S140" s="7">
        <f t="shared" si="26"/>
        <v>4.0919999999999996</v>
      </c>
      <c r="T140" s="2">
        <f>ステ計算型!$I$27</f>
        <v>1.1000000000000001</v>
      </c>
      <c r="U140" s="2">
        <f>ステ計算型!$J$29</f>
        <v>2</v>
      </c>
      <c r="V140" s="2">
        <f>ステ計算型!$F$32</f>
        <v>0.75</v>
      </c>
      <c r="W140" s="2">
        <f>ステ計算型!$G$34</f>
        <v>1</v>
      </c>
      <c r="X140" s="7">
        <f t="shared" si="22"/>
        <v>74905.101744</v>
      </c>
      <c r="Y140" s="7">
        <f t="shared" si="30"/>
        <v>400</v>
      </c>
      <c r="Z140" s="7">
        <f t="shared" si="31"/>
        <v>1</v>
      </c>
      <c r="AA140" s="38">
        <f>IF(L140&lt;ステ計算型!$A$20,0,1)</f>
        <v>0</v>
      </c>
      <c r="AB140" s="3">
        <f t="shared" si="32"/>
        <v>0</v>
      </c>
    </row>
    <row r="141" spans="1:28" ht="8.25" customHeight="1">
      <c r="A141" s="3">
        <f t="shared" si="28"/>
        <v>0</v>
      </c>
      <c r="B141" s="2">
        <f>ステ計算型!$B$2</f>
        <v>101</v>
      </c>
      <c r="C141" s="7">
        <f>VLOOKUP(B141,ポイント!$A$1:$D$43,4,FALSE)</f>
        <v>571</v>
      </c>
      <c r="D141" s="2">
        <f>ステ計算型!$B$4</f>
        <v>5</v>
      </c>
      <c r="E141" s="2">
        <f>ステ計算型!$B$6</f>
        <v>127</v>
      </c>
      <c r="F141" s="2">
        <f>ステ計算型!$B$8</f>
        <v>10</v>
      </c>
      <c r="G141" s="2">
        <f>ステ計算型!$B$9</f>
        <v>82</v>
      </c>
      <c r="H141" s="7">
        <f t="shared" si="23"/>
        <v>347</v>
      </c>
      <c r="I141" s="5">
        <f>ステ計算型!$K$3</f>
        <v>7390</v>
      </c>
      <c r="J141" s="5">
        <f>ステ計算型!$N$3</f>
        <v>66</v>
      </c>
      <c r="K141" s="5">
        <v>142</v>
      </c>
      <c r="L141" s="7">
        <f t="shared" si="24"/>
        <v>205</v>
      </c>
      <c r="M141" s="7">
        <f t="shared" si="29"/>
        <v>22744</v>
      </c>
      <c r="N141" s="2">
        <v>1</v>
      </c>
      <c r="O141" s="7">
        <f t="shared" si="27"/>
        <v>0.32</v>
      </c>
      <c r="P141" s="7">
        <f t="shared" si="25"/>
        <v>0.32</v>
      </c>
      <c r="Q141" s="2">
        <f>ステ計算型!$I$29</f>
        <v>1</v>
      </c>
      <c r="R141" s="2">
        <f>ステ計算型!$E$33</f>
        <v>0.2</v>
      </c>
      <c r="S141" s="7">
        <f t="shared" si="26"/>
        <v>4.1040000000000001</v>
      </c>
      <c r="T141" s="2">
        <f>ステ計算型!$I$27</f>
        <v>1.1000000000000001</v>
      </c>
      <c r="U141" s="2">
        <f>ステ計算型!$J$29</f>
        <v>2</v>
      </c>
      <c r="V141" s="2">
        <f>ステ計算型!$F$32</f>
        <v>0.75</v>
      </c>
      <c r="W141" s="2">
        <f>ステ計算型!$G$34</f>
        <v>1</v>
      </c>
      <c r="X141" s="7">
        <f t="shared" si="22"/>
        <v>74803.014528</v>
      </c>
      <c r="Y141" s="7">
        <f t="shared" si="30"/>
        <v>400</v>
      </c>
      <c r="Z141" s="7">
        <f t="shared" si="31"/>
        <v>1</v>
      </c>
      <c r="AA141" s="38">
        <f>IF(L141&lt;ステ計算型!$A$20,0,1)</f>
        <v>0</v>
      </c>
      <c r="AB141" s="3">
        <f t="shared" si="32"/>
        <v>0</v>
      </c>
    </row>
    <row r="142" spans="1:28" ht="8.25" customHeight="1">
      <c r="A142" s="3">
        <f t="shared" si="28"/>
        <v>0</v>
      </c>
      <c r="B142" s="2">
        <f>ステ計算型!$B$2</f>
        <v>101</v>
      </c>
      <c r="C142" s="7">
        <f>VLOOKUP(B142,ポイント!$A$1:$D$43,4,FALSE)</f>
        <v>571</v>
      </c>
      <c r="D142" s="2">
        <f>ステ計算型!$B$4</f>
        <v>5</v>
      </c>
      <c r="E142" s="2">
        <f>ステ計算型!$B$6</f>
        <v>127</v>
      </c>
      <c r="F142" s="2">
        <f>ステ計算型!$B$8</f>
        <v>10</v>
      </c>
      <c r="G142" s="2">
        <f>ステ計算型!$B$9</f>
        <v>82</v>
      </c>
      <c r="H142" s="7">
        <f t="shared" si="23"/>
        <v>347</v>
      </c>
      <c r="I142" s="5">
        <f>ステ計算型!$K$3</f>
        <v>7390</v>
      </c>
      <c r="J142" s="5">
        <f>ステ計算型!$N$3</f>
        <v>66</v>
      </c>
      <c r="K142" s="5">
        <v>143</v>
      </c>
      <c r="L142" s="7">
        <f t="shared" si="24"/>
        <v>204</v>
      </c>
      <c r="M142" s="7">
        <f t="shared" si="29"/>
        <v>22669</v>
      </c>
      <c r="N142" s="2">
        <v>1</v>
      </c>
      <c r="O142" s="7">
        <f t="shared" si="27"/>
        <v>0.33</v>
      </c>
      <c r="P142" s="7">
        <f t="shared" si="25"/>
        <v>0.33</v>
      </c>
      <c r="Q142" s="2">
        <f>ステ計算型!$I$29</f>
        <v>1</v>
      </c>
      <c r="R142" s="2">
        <f>ステ計算型!$E$33</f>
        <v>0.2</v>
      </c>
      <c r="S142" s="7">
        <f t="shared" si="26"/>
        <v>4.1159999999999997</v>
      </c>
      <c r="T142" s="2">
        <f>ステ計算型!$I$27</f>
        <v>1.1000000000000001</v>
      </c>
      <c r="U142" s="2">
        <f>ステ計算型!$J$29</f>
        <v>2</v>
      </c>
      <c r="V142" s="2">
        <f>ステ計算型!$F$32</f>
        <v>0.75</v>
      </c>
      <c r="W142" s="2">
        <f>ステ計算型!$G$34</f>
        <v>1</v>
      </c>
      <c r="X142" s="7">
        <f t="shared" si="22"/>
        <v>75865.480877999988</v>
      </c>
      <c r="Y142" s="7">
        <f t="shared" si="30"/>
        <v>400</v>
      </c>
      <c r="Z142" s="7">
        <f t="shared" si="31"/>
        <v>1</v>
      </c>
      <c r="AA142" s="38">
        <f>IF(L142&lt;ステ計算型!$A$20,0,1)</f>
        <v>0</v>
      </c>
      <c r="AB142" s="3">
        <f t="shared" si="32"/>
        <v>0</v>
      </c>
    </row>
    <row r="143" spans="1:28" ht="8.25" customHeight="1">
      <c r="A143" s="3">
        <f t="shared" si="28"/>
        <v>0</v>
      </c>
      <c r="B143" s="2">
        <f>ステ計算型!$B$2</f>
        <v>101</v>
      </c>
      <c r="C143" s="7">
        <f>VLOOKUP(B143,ポイント!$A$1:$D$43,4,FALSE)</f>
        <v>571</v>
      </c>
      <c r="D143" s="2">
        <f>ステ計算型!$B$4</f>
        <v>5</v>
      </c>
      <c r="E143" s="2">
        <f>ステ計算型!$B$6</f>
        <v>127</v>
      </c>
      <c r="F143" s="2">
        <f>ステ計算型!$B$8</f>
        <v>10</v>
      </c>
      <c r="G143" s="2">
        <f>ステ計算型!$B$9</f>
        <v>82</v>
      </c>
      <c r="H143" s="7">
        <f t="shared" si="23"/>
        <v>347</v>
      </c>
      <c r="I143" s="5">
        <f>ステ計算型!$K$3</f>
        <v>7390</v>
      </c>
      <c r="J143" s="5">
        <f>ステ計算型!$N$3</f>
        <v>66</v>
      </c>
      <c r="K143" s="5">
        <v>144</v>
      </c>
      <c r="L143" s="7">
        <f t="shared" si="24"/>
        <v>203</v>
      </c>
      <c r="M143" s="7">
        <f t="shared" si="29"/>
        <v>22594</v>
      </c>
      <c r="N143" s="2">
        <v>1</v>
      </c>
      <c r="O143" s="7">
        <f t="shared" si="27"/>
        <v>0.33</v>
      </c>
      <c r="P143" s="7">
        <f t="shared" si="25"/>
        <v>0.33</v>
      </c>
      <c r="Q143" s="2">
        <f>ステ計算型!$I$29</f>
        <v>1</v>
      </c>
      <c r="R143" s="2">
        <f>ステ計算型!$E$33</f>
        <v>0.2</v>
      </c>
      <c r="S143" s="7">
        <f t="shared" si="26"/>
        <v>4.1280000000000001</v>
      </c>
      <c r="T143" s="2">
        <f>ステ計算型!$I$27</f>
        <v>1.1000000000000001</v>
      </c>
      <c r="U143" s="2">
        <f>ステ計算型!$J$29</f>
        <v>2</v>
      </c>
      <c r="V143" s="2">
        <f>ステ計算型!$F$32</f>
        <v>0.75</v>
      </c>
      <c r="W143" s="2">
        <f>ステ計算型!$G$34</f>
        <v>1</v>
      </c>
      <c r="X143" s="7">
        <f t="shared" si="22"/>
        <v>75762.110423999984</v>
      </c>
      <c r="Y143" s="7">
        <f t="shared" si="30"/>
        <v>400</v>
      </c>
      <c r="Z143" s="7">
        <f t="shared" si="31"/>
        <v>1</v>
      </c>
      <c r="AA143" s="38">
        <f>IF(L143&lt;ステ計算型!$A$20,0,1)</f>
        <v>0</v>
      </c>
      <c r="AB143" s="3">
        <f t="shared" si="32"/>
        <v>0</v>
      </c>
    </row>
    <row r="144" spans="1:28" ht="8.25" customHeight="1">
      <c r="A144" s="3">
        <f t="shared" si="28"/>
        <v>0</v>
      </c>
      <c r="B144" s="2">
        <f>ステ計算型!$B$2</f>
        <v>101</v>
      </c>
      <c r="C144" s="7">
        <f>VLOOKUP(B144,ポイント!$A$1:$D$43,4,FALSE)</f>
        <v>571</v>
      </c>
      <c r="D144" s="2">
        <f>ステ計算型!$B$4</f>
        <v>5</v>
      </c>
      <c r="E144" s="2">
        <f>ステ計算型!$B$6</f>
        <v>127</v>
      </c>
      <c r="F144" s="2">
        <f>ステ計算型!$B$8</f>
        <v>10</v>
      </c>
      <c r="G144" s="2">
        <f>ステ計算型!$B$9</f>
        <v>82</v>
      </c>
      <c r="H144" s="7">
        <f t="shared" si="23"/>
        <v>347</v>
      </c>
      <c r="I144" s="5">
        <f>ステ計算型!$K$3</f>
        <v>7390</v>
      </c>
      <c r="J144" s="5">
        <f>ステ計算型!$N$3</f>
        <v>66</v>
      </c>
      <c r="K144" s="5">
        <v>145</v>
      </c>
      <c r="L144" s="7">
        <f t="shared" si="24"/>
        <v>202</v>
      </c>
      <c r="M144" s="7">
        <f t="shared" si="29"/>
        <v>22519</v>
      </c>
      <c r="N144" s="2">
        <v>1</v>
      </c>
      <c r="O144" s="7">
        <f t="shared" si="27"/>
        <v>0.33</v>
      </c>
      <c r="P144" s="7">
        <f t="shared" si="25"/>
        <v>0.33</v>
      </c>
      <c r="Q144" s="2">
        <f>ステ計算型!$I$29</f>
        <v>1</v>
      </c>
      <c r="R144" s="2">
        <f>ステ計算型!$E$33</f>
        <v>0.2</v>
      </c>
      <c r="S144" s="7">
        <f t="shared" si="26"/>
        <v>4.1399999999999997</v>
      </c>
      <c r="T144" s="2">
        <f>ステ計算型!$I$27</f>
        <v>1.1000000000000001</v>
      </c>
      <c r="U144" s="2">
        <f>ステ計算型!$J$29</f>
        <v>2</v>
      </c>
      <c r="V144" s="2">
        <f>ステ計算型!$F$32</f>
        <v>0.75</v>
      </c>
      <c r="W144" s="2">
        <f>ステ計算型!$G$34</f>
        <v>1</v>
      </c>
      <c r="X144" s="7">
        <f t="shared" ref="X144:X207" si="33">M144*(P144*S144+1-P144)*T144*U144*V144*W144</f>
        <v>75657.759870000009</v>
      </c>
      <c r="Y144" s="7">
        <f t="shared" si="30"/>
        <v>400</v>
      </c>
      <c r="Z144" s="7">
        <f t="shared" si="31"/>
        <v>1</v>
      </c>
      <c r="AA144" s="38">
        <f>IF(L144&lt;ステ計算型!$A$20,0,1)</f>
        <v>0</v>
      </c>
      <c r="AB144" s="3">
        <f t="shared" si="32"/>
        <v>0</v>
      </c>
    </row>
    <row r="145" spans="1:28" ht="8.25" customHeight="1">
      <c r="A145" s="3">
        <f t="shared" si="28"/>
        <v>0</v>
      </c>
      <c r="B145" s="2">
        <f>ステ計算型!$B$2</f>
        <v>101</v>
      </c>
      <c r="C145" s="7">
        <f>VLOOKUP(B145,ポイント!$A$1:$D$43,4,FALSE)</f>
        <v>571</v>
      </c>
      <c r="D145" s="2">
        <f>ステ計算型!$B$4</f>
        <v>5</v>
      </c>
      <c r="E145" s="2">
        <f>ステ計算型!$B$6</f>
        <v>127</v>
      </c>
      <c r="F145" s="2">
        <f>ステ計算型!$B$8</f>
        <v>10</v>
      </c>
      <c r="G145" s="2">
        <f>ステ計算型!$B$9</f>
        <v>82</v>
      </c>
      <c r="H145" s="7">
        <f t="shared" ref="H145:H208" si="34">C145-D145-E145-F145-G145</f>
        <v>347</v>
      </c>
      <c r="I145" s="5">
        <f>ステ計算型!$K$3</f>
        <v>7390</v>
      </c>
      <c r="J145" s="5">
        <f>ステ計算型!$N$3</f>
        <v>66</v>
      </c>
      <c r="K145" s="5">
        <v>146</v>
      </c>
      <c r="L145" s="7">
        <f t="shared" ref="L145:L208" si="35">H145-K145</f>
        <v>201</v>
      </c>
      <c r="M145" s="7">
        <f t="shared" si="29"/>
        <v>22444</v>
      </c>
      <c r="N145" s="2">
        <v>1</v>
      </c>
      <c r="O145" s="7">
        <f t="shared" si="27"/>
        <v>0.33</v>
      </c>
      <c r="P145" s="7">
        <f t="shared" ref="P145:P208" si="36">IF(O145&gt;0.5,0.5,O145)</f>
        <v>0.33</v>
      </c>
      <c r="Q145" s="2">
        <f>ステ計算型!$I$29</f>
        <v>1</v>
      </c>
      <c r="R145" s="2">
        <f>ステ計算型!$E$33</f>
        <v>0.2</v>
      </c>
      <c r="S145" s="7">
        <f t="shared" ref="S145:S208" si="37">(K145/100+2)*Q145*(R145*2+1-R145)</f>
        <v>4.1520000000000001</v>
      </c>
      <c r="T145" s="2">
        <f>ステ計算型!$I$27</f>
        <v>1.1000000000000001</v>
      </c>
      <c r="U145" s="2">
        <f>ステ計算型!$J$29</f>
        <v>2</v>
      </c>
      <c r="V145" s="2">
        <f>ステ計算型!$F$32</f>
        <v>0.75</v>
      </c>
      <c r="W145" s="2">
        <f>ステ計算型!$G$34</f>
        <v>1</v>
      </c>
      <c r="X145" s="7">
        <f t="shared" si="33"/>
        <v>75552.429216000004</v>
      </c>
      <c r="Y145" s="7">
        <f t="shared" si="30"/>
        <v>400</v>
      </c>
      <c r="Z145" s="7">
        <f t="shared" si="31"/>
        <v>1</v>
      </c>
      <c r="AA145" s="38">
        <f>IF(L145&lt;ステ計算型!$A$20,0,1)</f>
        <v>0</v>
      </c>
      <c r="AB145" s="3">
        <f t="shared" si="32"/>
        <v>0</v>
      </c>
    </row>
    <row r="146" spans="1:28" ht="8.25" customHeight="1">
      <c r="A146" s="3">
        <f t="shared" si="28"/>
        <v>0</v>
      </c>
      <c r="B146" s="2">
        <f>ステ計算型!$B$2</f>
        <v>101</v>
      </c>
      <c r="C146" s="7">
        <f>VLOOKUP(B146,ポイント!$A$1:$D$43,4,FALSE)</f>
        <v>571</v>
      </c>
      <c r="D146" s="2">
        <f>ステ計算型!$B$4</f>
        <v>5</v>
      </c>
      <c r="E146" s="2">
        <f>ステ計算型!$B$6</f>
        <v>127</v>
      </c>
      <c r="F146" s="2">
        <f>ステ計算型!$B$8</f>
        <v>10</v>
      </c>
      <c r="G146" s="2">
        <f>ステ計算型!$B$9</f>
        <v>82</v>
      </c>
      <c r="H146" s="7">
        <f t="shared" si="34"/>
        <v>347</v>
      </c>
      <c r="I146" s="5">
        <f>ステ計算型!$K$3</f>
        <v>7390</v>
      </c>
      <c r="J146" s="5">
        <f>ステ計算型!$N$3</f>
        <v>66</v>
      </c>
      <c r="K146" s="5">
        <v>147</v>
      </c>
      <c r="L146" s="7">
        <f t="shared" si="35"/>
        <v>200</v>
      </c>
      <c r="M146" s="7">
        <f t="shared" si="29"/>
        <v>22370</v>
      </c>
      <c r="N146" s="2">
        <v>1</v>
      </c>
      <c r="O146" s="7">
        <f t="shared" si="27"/>
        <v>0.33</v>
      </c>
      <c r="P146" s="7">
        <f t="shared" si="36"/>
        <v>0.33</v>
      </c>
      <c r="Q146" s="2">
        <f>ステ計算型!$I$29</f>
        <v>1</v>
      </c>
      <c r="R146" s="2">
        <f>ステ計算型!$E$33</f>
        <v>0.2</v>
      </c>
      <c r="S146" s="7">
        <f t="shared" si="37"/>
        <v>4.1639999999999997</v>
      </c>
      <c r="T146" s="2">
        <f>ステ計算型!$I$27</f>
        <v>1.1000000000000001</v>
      </c>
      <c r="U146" s="2">
        <f>ステ計算型!$J$29</f>
        <v>2</v>
      </c>
      <c r="V146" s="2">
        <f>ステ計算型!$F$32</f>
        <v>0.75</v>
      </c>
      <c r="W146" s="2">
        <f>ステ計算型!$G$34</f>
        <v>1</v>
      </c>
      <c r="X146" s="7">
        <f t="shared" si="33"/>
        <v>75449.49126000001</v>
      </c>
      <c r="Y146" s="7">
        <f t="shared" si="30"/>
        <v>400</v>
      </c>
      <c r="Z146" s="7">
        <f t="shared" si="31"/>
        <v>1</v>
      </c>
      <c r="AA146" s="38">
        <f>IF(L146&lt;ステ計算型!$A$20,0,1)</f>
        <v>0</v>
      </c>
      <c r="AB146" s="3">
        <f t="shared" si="32"/>
        <v>0</v>
      </c>
    </row>
    <row r="147" spans="1:28" ht="8.25" customHeight="1">
      <c r="A147" s="3">
        <f t="shared" si="28"/>
        <v>0</v>
      </c>
      <c r="B147" s="2">
        <f>ステ計算型!$B$2</f>
        <v>101</v>
      </c>
      <c r="C147" s="7">
        <f>VLOOKUP(B147,ポイント!$A$1:$D$43,4,FALSE)</f>
        <v>571</v>
      </c>
      <c r="D147" s="2">
        <f>ステ計算型!$B$4</f>
        <v>5</v>
      </c>
      <c r="E147" s="2">
        <f>ステ計算型!$B$6</f>
        <v>127</v>
      </c>
      <c r="F147" s="2">
        <f>ステ計算型!$B$8</f>
        <v>10</v>
      </c>
      <c r="G147" s="2">
        <f>ステ計算型!$B$9</f>
        <v>82</v>
      </c>
      <c r="H147" s="7">
        <f t="shared" si="34"/>
        <v>347</v>
      </c>
      <c r="I147" s="5">
        <f>ステ計算型!$K$3</f>
        <v>7390</v>
      </c>
      <c r="J147" s="5">
        <f>ステ計算型!$N$3</f>
        <v>66</v>
      </c>
      <c r="K147" s="5">
        <v>148</v>
      </c>
      <c r="L147" s="7">
        <f t="shared" si="35"/>
        <v>199</v>
      </c>
      <c r="M147" s="7">
        <f t="shared" si="29"/>
        <v>22295</v>
      </c>
      <c r="N147" s="2">
        <v>1</v>
      </c>
      <c r="O147" s="7">
        <f t="shared" si="27"/>
        <v>0.33</v>
      </c>
      <c r="P147" s="7">
        <f t="shared" si="36"/>
        <v>0.33</v>
      </c>
      <c r="Q147" s="2">
        <f>ステ計算型!$I$29</f>
        <v>1</v>
      </c>
      <c r="R147" s="2">
        <f>ステ計算型!$E$33</f>
        <v>0.2</v>
      </c>
      <c r="S147" s="7">
        <f t="shared" si="37"/>
        <v>4.1760000000000002</v>
      </c>
      <c r="T147" s="2">
        <f>ステ計算型!$I$27</f>
        <v>1.1000000000000001</v>
      </c>
      <c r="U147" s="2">
        <f>ステ計算型!$J$29</f>
        <v>2</v>
      </c>
      <c r="V147" s="2">
        <f>ステ計算型!$F$32</f>
        <v>0.75</v>
      </c>
      <c r="W147" s="2">
        <f>ステ計算型!$G$34</f>
        <v>1</v>
      </c>
      <c r="X147" s="7">
        <f t="shared" si="33"/>
        <v>75342.206940000004</v>
      </c>
      <c r="Y147" s="7">
        <f t="shared" si="30"/>
        <v>400</v>
      </c>
      <c r="Z147" s="7">
        <f t="shared" si="31"/>
        <v>1</v>
      </c>
      <c r="AA147" s="38">
        <f>IF(L147&lt;ステ計算型!$A$20,0,1)</f>
        <v>0</v>
      </c>
      <c r="AB147" s="3">
        <f t="shared" si="32"/>
        <v>0</v>
      </c>
    </row>
    <row r="148" spans="1:28" ht="8.25" customHeight="1">
      <c r="A148" s="3">
        <f t="shared" si="28"/>
        <v>0</v>
      </c>
      <c r="B148" s="2">
        <f>ステ計算型!$B$2</f>
        <v>101</v>
      </c>
      <c r="C148" s="7">
        <f>VLOOKUP(B148,ポイント!$A$1:$D$43,4,FALSE)</f>
        <v>571</v>
      </c>
      <c r="D148" s="2">
        <f>ステ計算型!$B$4</f>
        <v>5</v>
      </c>
      <c r="E148" s="2">
        <f>ステ計算型!$B$6</f>
        <v>127</v>
      </c>
      <c r="F148" s="2">
        <f>ステ計算型!$B$8</f>
        <v>10</v>
      </c>
      <c r="G148" s="2">
        <f>ステ計算型!$B$9</f>
        <v>82</v>
      </c>
      <c r="H148" s="7">
        <f t="shared" si="34"/>
        <v>347</v>
      </c>
      <c r="I148" s="5">
        <f>ステ計算型!$K$3</f>
        <v>7390</v>
      </c>
      <c r="J148" s="5">
        <f>ステ計算型!$N$3</f>
        <v>66</v>
      </c>
      <c r="K148" s="5">
        <v>149</v>
      </c>
      <c r="L148" s="7">
        <f t="shared" si="35"/>
        <v>198</v>
      </c>
      <c r="M148" s="7">
        <f t="shared" si="29"/>
        <v>22220</v>
      </c>
      <c r="N148" s="2">
        <v>1</v>
      </c>
      <c r="O148" s="7">
        <f t="shared" si="27"/>
        <v>0.33</v>
      </c>
      <c r="P148" s="7">
        <f t="shared" si="36"/>
        <v>0.33</v>
      </c>
      <c r="Q148" s="2">
        <f>ステ計算型!$I$29</f>
        <v>1</v>
      </c>
      <c r="R148" s="2">
        <f>ステ計算型!$E$33</f>
        <v>0.2</v>
      </c>
      <c r="S148" s="7">
        <f t="shared" si="37"/>
        <v>4.1879999999999997</v>
      </c>
      <c r="T148" s="2">
        <f>ステ計算型!$I$27</f>
        <v>1.1000000000000001</v>
      </c>
      <c r="U148" s="2">
        <f>ステ計算型!$J$29</f>
        <v>2</v>
      </c>
      <c r="V148" s="2">
        <f>ステ計算型!$F$32</f>
        <v>0.75</v>
      </c>
      <c r="W148" s="2">
        <f>ステ計算型!$G$34</f>
        <v>1</v>
      </c>
      <c r="X148" s="7">
        <f t="shared" si="33"/>
        <v>75233.942519999997</v>
      </c>
      <c r="Y148" s="7">
        <f t="shared" si="30"/>
        <v>400</v>
      </c>
      <c r="Z148" s="7">
        <f t="shared" si="31"/>
        <v>1</v>
      </c>
      <c r="AA148" s="38">
        <f>IF(L148&lt;ステ計算型!$A$20,0,1)</f>
        <v>0</v>
      </c>
      <c r="AB148" s="3">
        <f t="shared" si="32"/>
        <v>0</v>
      </c>
    </row>
    <row r="149" spans="1:28" ht="8.25" customHeight="1">
      <c r="A149" s="3">
        <f t="shared" si="28"/>
        <v>0</v>
      </c>
      <c r="B149" s="2">
        <f>ステ計算型!$B$2</f>
        <v>101</v>
      </c>
      <c r="C149" s="7">
        <f>VLOOKUP(B149,ポイント!$A$1:$D$43,4,FALSE)</f>
        <v>571</v>
      </c>
      <c r="D149" s="2">
        <f>ステ計算型!$B$4</f>
        <v>5</v>
      </c>
      <c r="E149" s="2">
        <f>ステ計算型!$B$6</f>
        <v>127</v>
      </c>
      <c r="F149" s="2">
        <f>ステ計算型!$B$8</f>
        <v>10</v>
      </c>
      <c r="G149" s="2">
        <f>ステ計算型!$B$9</f>
        <v>82</v>
      </c>
      <c r="H149" s="7">
        <f t="shared" si="34"/>
        <v>347</v>
      </c>
      <c r="I149" s="5">
        <f>ステ計算型!$K$3</f>
        <v>7390</v>
      </c>
      <c r="J149" s="5">
        <f>ステ計算型!$N$3</f>
        <v>66</v>
      </c>
      <c r="K149" s="5">
        <v>150</v>
      </c>
      <c r="L149" s="7">
        <f t="shared" si="35"/>
        <v>197</v>
      </c>
      <c r="M149" s="7">
        <f t="shared" si="29"/>
        <v>22145</v>
      </c>
      <c r="N149" s="2">
        <v>1</v>
      </c>
      <c r="O149" s="7">
        <f t="shared" si="27"/>
        <v>0.34</v>
      </c>
      <c r="P149" s="7">
        <f t="shared" si="36"/>
        <v>0.34</v>
      </c>
      <c r="Q149" s="2">
        <f>ステ計算型!$I$29</f>
        <v>1</v>
      </c>
      <c r="R149" s="2">
        <f>ステ計算型!$E$33</f>
        <v>0.2</v>
      </c>
      <c r="S149" s="7">
        <f t="shared" si="37"/>
        <v>4.2</v>
      </c>
      <c r="T149" s="2">
        <f>ステ計算型!$I$27</f>
        <v>1.1000000000000001</v>
      </c>
      <c r="U149" s="2">
        <f>ステ計算型!$J$29</f>
        <v>2</v>
      </c>
      <c r="V149" s="2">
        <f>ステ計算型!$F$32</f>
        <v>0.75</v>
      </c>
      <c r="W149" s="2">
        <f>ステ計算型!$G$34</f>
        <v>1</v>
      </c>
      <c r="X149" s="7">
        <f t="shared" si="33"/>
        <v>76293.954000000012</v>
      </c>
      <c r="Y149" s="7">
        <f t="shared" si="30"/>
        <v>400</v>
      </c>
      <c r="Z149" s="7">
        <f t="shared" si="31"/>
        <v>1</v>
      </c>
      <c r="AA149" s="38">
        <f>IF(L149&lt;ステ計算型!$A$20,0,1)</f>
        <v>0</v>
      </c>
      <c r="AB149" s="3">
        <f t="shared" si="32"/>
        <v>0</v>
      </c>
    </row>
    <row r="150" spans="1:28" ht="8.25" customHeight="1">
      <c r="A150" s="3">
        <f t="shared" si="28"/>
        <v>0</v>
      </c>
      <c r="B150" s="2">
        <f>ステ計算型!$B$2</f>
        <v>101</v>
      </c>
      <c r="C150" s="7">
        <f>VLOOKUP(B150,ポイント!$A$1:$D$43,4,FALSE)</f>
        <v>571</v>
      </c>
      <c r="D150" s="2">
        <f>ステ計算型!$B$4</f>
        <v>5</v>
      </c>
      <c r="E150" s="2">
        <f>ステ計算型!$B$6</f>
        <v>127</v>
      </c>
      <c r="F150" s="2">
        <f>ステ計算型!$B$8</f>
        <v>10</v>
      </c>
      <c r="G150" s="2">
        <f>ステ計算型!$B$9</f>
        <v>82</v>
      </c>
      <c r="H150" s="7">
        <f t="shared" si="34"/>
        <v>347</v>
      </c>
      <c r="I150" s="5">
        <f>ステ計算型!$K$3</f>
        <v>7390</v>
      </c>
      <c r="J150" s="5">
        <f>ステ計算型!$N$3</f>
        <v>66</v>
      </c>
      <c r="K150" s="5">
        <v>151</v>
      </c>
      <c r="L150" s="7">
        <f t="shared" si="35"/>
        <v>196</v>
      </c>
      <c r="M150" s="7">
        <f t="shared" si="29"/>
        <v>22070</v>
      </c>
      <c r="N150" s="2">
        <v>1</v>
      </c>
      <c r="O150" s="7">
        <f t="shared" si="27"/>
        <v>0.34</v>
      </c>
      <c r="P150" s="7">
        <f t="shared" si="36"/>
        <v>0.34</v>
      </c>
      <c r="Q150" s="2">
        <f>ステ計算型!$I$29</f>
        <v>1</v>
      </c>
      <c r="R150" s="2">
        <f>ステ計算型!$E$33</f>
        <v>0.2</v>
      </c>
      <c r="S150" s="7">
        <f t="shared" si="37"/>
        <v>4.2119999999999997</v>
      </c>
      <c r="T150" s="2">
        <f>ステ計算型!$I$27</f>
        <v>1.1000000000000001</v>
      </c>
      <c r="U150" s="2">
        <f>ステ計算型!$J$29</f>
        <v>2</v>
      </c>
      <c r="V150" s="2">
        <f>ステ計算型!$F$32</f>
        <v>0.75</v>
      </c>
      <c r="W150" s="2">
        <f>ステ計算型!$G$34</f>
        <v>1</v>
      </c>
      <c r="X150" s="7">
        <f t="shared" si="33"/>
        <v>76184.139240000004</v>
      </c>
      <c r="Y150" s="7">
        <f t="shared" si="30"/>
        <v>400</v>
      </c>
      <c r="Z150" s="7">
        <f t="shared" si="31"/>
        <v>1</v>
      </c>
      <c r="AA150" s="38">
        <f>IF(L150&lt;ステ計算型!$A$20,0,1)</f>
        <v>0</v>
      </c>
      <c r="AB150" s="3">
        <f t="shared" si="32"/>
        <v>0</v>
      </c>
    </row>
    <row r="151" spans="1:28" ht="8.25" customHeight="1">
      <c r="A151" s="3">
        <f t="shared" si="28"/>
        <v>0</v>
      </c>
      <c r="B151" s="2">
        <f>ステ計算型!$B$2</f>
        <v>101</v>
      </c>
      <c r="C151" s="7">
        <f>VLOOKUP(B151,ポイント!$A$1:$D$43,4,FALSE)</f>
        <v>571</v>
      </c>
      <c r="D151" s="2">
        <f>ステ計算型!$B$4</f>
        <v>5</v>
      </c>
      <c r="E151" s="2">
        <f>ステ計算型!$B$6</f>
        <v>127</v>
      </c>
      <c r="F151" s="2">
        <f>ステ計算型!$B$8</f>
        <v>10</v>
      </c>
      <c r="G151" s="2">
        <f>ステ計算型!$B$9</f>
        <v>82</v>
      </c>
      <c r="H151" s="7">
        <f t="shared" si="34"/>
        <v>347</v>
      </c>
      <c r="I151" s="5">
        <f>ステ計算型!$K$3</f>
        <v>7390</v>
      </c>
      <c r="J151" s="5">
        <f>ステ計算型!$N$3</f>
        <v>66</v>
      </c>
      <c r="K151" s="5">
        <v>152</v>
      </c>
      <c r="L151" s="7">
        <f t="shared" si="35"/>
        <v>195</v>
      </c>
      <c r="M151" s="7">
        <f t="shared" si="29"/>
        <v>21995</v>
      </c>
      <c r="N151" s="2">
        <v>1</v>
      </c>
      <c r="O151" s="7">
        <f t="shared" si="27"/>
        <v>0.34</v>
      </c>
      <c r="P151" s="7">
        <f t="shared" si="36"/>
        <v>0.34</v>
      </c>
      <c r="Q151" s="2">
        <f>ステ計算型!$I$29</f>
        <v>1</v>
      </c>
      <c r="R151" s="2">
        <f>ステ計算型!$E$33</f>
        <v>0.2</v>
      </c>
      <c r="S151" s="7">
        <f t="shared" si="37"/>
        <v>4.2240000000000002</v>
      </c>
      <c r="T151" s="2">
        <f>ステ計算型!$I$27</f>
        <v>1.1000000000000001</v>
      </c>
      <c r="U151" s="2">
        <f>ステ計算型!$J$29</f>
        <v>2</v>
      </c>
      <c r="V151" s="2">
        <f>ステ計算型!$F$32</f>
        <v>0.75</v>
      </c>
      <c r="W151" s="2">
        <f>ステ計算型!$G$34</f>
        <v>1</v>
      </c>
      <c r="X151" s="7">
        <f t="shared" si="33"/>
        <v>76073.31468000001</v>
      </c>
      <c r="Y151" s="7">
        <f t="shared" si="30"/>
        <v>400</v>
      </c>
      <c r="Z151" s="7">
        <f t="shared" si="31"/>
        <v>1</v>
      </c>
      <c r="AA151" s="38">
        <f>IF(L151&lt;ステ計算型!$A$20,0,1)</f>
        <v>0</v>
      </c>
      <c r="AB151" s="3">
        <f t="shared" si="32"/>
        <v>0</v>
      </c>
    </row>
    <row r="152" spans="1:28" ht="8.25" customHeight="1">
      <c r="A152" s="3">
        <f t="shared" si="28"/>
        <v>0</v>
      </c>
      <c r="B152" s="2">
        <f>ステ計算型!$B$2</f>
        <v>101</v>
      </c>
      <c r="C152" s="7">
        <f>VLOOKUP(B152,ポイント!$A$1:$D$43,4,FALSE)</f>
        <v>571</v>
      </c>
      <c r="D152" s="2">
        <f>ステ計算型!$B$4</f>
        <v>5</v>
      </c>
      <c r="E152" s="2">
        <f>ステ計算型!$B$6</f>
        <v>127</v>
      </c>
      <c r="F152" s="2">
        <f>ステ計算型!$B$8</f>
        <v>10</v>
      </c>
      <c r="G152" s="2">
        <f>ステ計算型!$B$9</f>
        <v>82</v>
      </c>
      <c r="H152" s="7">
        <f t="shared" si="34"/>
        <v>347</v>
      </c>
      <c r="I152" s="5">
        <f>ステ計算型!$K$3</f>
        <v>7390</v>
      </c>
      <c r="J152" s="5">
        <f>ステ計算型!$N$3</f>
        <v>66</v>
      </c>
      <c r="K152" s="5">
        <v>153</v>
      </c>
      <c r="L152" s="7">
        <f t="shared" si="35"/>
        <v>194</v>
      </c>
      <c r="M152" s="7">
        <f t="shared" si="29"/>
        <v>21920</v>
      </c>
      <c r="N152" s="2">
        <v>1</v>
      </c>
      <c r="O152" s="7">
        <f t="shared" si="27"/>
        <v>0.34</v>
      </c>
      <c r="P152" s="7">
        <f t="shared" si="36"/>
        <v>0.34</v>
      </c>
      <c r="Q152" s="2">
        <f>ステ計算型!$I$29</f>
        <v>1</v>
      </c>
      <c r="R152" s="2">
        <f>ステ計算型!$E$33</f>
        <v>0.2</v>
      </c>
      <c r="S152" s="7">
        <f t="shared" si="37"/>
        <v>4.2359999999999998</v>
      </c>
      <c r="T152" s="2">
        <f>ステ計算型!$I$27</f>
        <v>1.1000000000000001</v>
      </c>
      <c r="U152" s="2">
        <f>ステ計算型!$J$29</f>
        <v>2</v>
      </c>
      <c r="V152" s="2">
        <f>ステ計算型!$F$32</f>
        <v>0.75</v>
      </c>
      <c r="W152" s="2">
        <f>ステ計算型!$G$34</f>
        <v>1</v>
      </c>
      <c r="X152" s="7">
        <f t="shared" si="33"/>
        <v>75961.480320000017</v>
      </c>
      <c r="Y152" s="7">
        <f t="shared" si="30"/>
        <v>400</v>
      </c>
      <c r="Z152" s="7">
        <f t="shared" si="31"/>
        <v>1</v>
      </c>
      <c r="AA152" s="38">
        <f>IF(L152&lt;ステ計算型!$A$20,0,1)</f>
        <v>0</v>
      </c>
      <c r="AB152" s="3">
        <f t="shared" si="32"/>
        <v>0</v>
      </c>
    </row>
    <row r="153" spans="1:28" ht="8.25" customHeight="1">
      <c r="A153" s="3">
        <f t="shared" si="28"/>
        <v>0</v>
      </c>
      <c r="B153" s="2">
        <f>ステ計算型!$B$2</f>
        <v>101</v>
      </c>
      <c r="C153" s="7">
        <f>VLOOKUP(B153,ポイント!$A$1:$D$43,4,FALSE)</f>
        <v>571</v>
      </c>
      <c r="D153" s="2">
        <f>ステ計算型!$B$4</f>
        <v>5</v>
      </c>
      <c r="E153" s="2">
        <f>ステ計算型!$B$6</f>
        <v>127</v>
      </c>
      <c r="F153" s="2">
        <f>ステ計算型!$B$8</f>
        <v>10</v>
      </c>
      <c r="G153" s="2">
        <f>ステ計算型!$B$9</f>
        <v>82</v>
      </c>
      <c r="H153" s="7">
        <f t="shared" si="34"/>
        <v>347</v>
      </c>
      <c r="I153" s="5">
        <f>ステ計算型!$K$3</f>
        <v>7390</v>
      </c>
      <c r="J153" s="5">
        <f>ステ計算型!$N$3</f>
        <v>66</v>
      </c>
      <c r="K153" s="5">
        <v>154</v>
      </c>
      <c r="L153" s="7">
        <f t="shared" si="35"/>
        <v>193</v>
      </c>
      <c r="M153" s="7">
        <f t="shared" si="29"/>
        <v>21845</v>
      </c>
      <c r="N153" s="2">
        <v>1</v>
      </c>
      <c r="O153" s="7">
        <f t="shared" si="27"/>
        <v>0.34</v>
      </c>
      <c r="P153" s="7">
        <f t="shared" si="36"/>
        <v>0.34</v>
      </c>
      <c r="Q153" s="2">
        <f>ステ計算型!$I$29</f>
        <v>1</v>
      </c>
      <c r="R153" s="2">
        <f>ステ計算型!$E$33</f>
        <v>0.2</v>
      </c>
      <c r="S153" s="7">
        <f t="shared" si="37"/>
        <v>4.2480000000000002</v>
      </c>
      <c r="T153" s="2">
        <f>ステ計算型!$I$27</f>
        <v>1.1000000000000001</v>
      </c>
      <c r="U153" s="2">
        <f>ステ計算型!$J$29</f>
        <v>2</v>
      </c>
      <c r="V153" s="2">
        <f>ステ計算型!$F$32</f>
        <v>0.75</v>
      </c>
      <c r="W153" s="2">
        <f>ステ計算型!$G$34</f>
        <v>1</v>
      </c>
      <c r="X153" s="7">
        <f t="shared" si="33"/>
        <v>75848.636160000009</v>
      </c>
      <c r="Y153" s="7">
        <f t="shared" si="30"/>
        <v>400</v>
      </c>
      <c r="Z153" s="7">
        <f t="shared" si="31"/>
        <v>1</v>
      </c>
      <c r="AA153" s="38">
        <f>IF(L153&lt;ステ計算型!$A$20,0,1)</f>
        <v>0</v>
      </c>
      <c r="AB153" s="3">
        <f t="shared" si="32"/>
        <v>0</v>
      </c>
    </row>
    <row r="154" spans="1:28" ht="8.25" customHeight="1">
      <c r="A154" s="3">
        <f t="shared" si="28"/>
        <v>0</v>
      </c>
      <c r="B154" s="2">
        <f>ステ計算型!$B$2</f>
        <v>101</v>
      </c>
      <c r="C154" s="7">
        <f>VLOOKUP(B154,ポイント!$A$1:$D$43,4,FALSE)</f>
        <v>571</v>
      </c>
      <c r="D154" s="2">
        <f>ステ計算型!$B$4</f>
        <v>5</v>
      </c>
      <c r="E154" s="2">
        <f>ステ計算型!$B$6</f>
        <v>127</v>
      </c>
      <c r="F154" s="2">
        <f>ステ計算型!$B$8</f>
        <v>10</v>
      </c>
      <c r="G154" s="2">
        <f>ステ計算型!$B$9</f>
        <v>82</v>
      </c>
      <c r="H154" s="7">
        <f t="shared" si="34"/>
        <v>347</v>
      </c>
      <c r="I154" s="5">
        <f>ステ計算型!$K$3</f>
        <v>7390</v>
      </c>
      <c r="J154" s="5">
        <f>ステ計算型!$N$3</f>
        <v>66</v>
      </c>
      <c r="K154" s="5">
        <v>155</v>
      </c>
      <c r="L154" s="7">
        <f t="shared" si="35"/>
        <v>192</v>
      </c>
      <c r="M154" s="7">
        <f t="shared" si="29"/>
        <v>21770</v>
      </c>
      <c r="N154" s="2">
        <v>1</v>
      </c>
      <c r="O154" s="7">
        <f t="shared" si="27"/>
        <v>0.34</v>
      </c>
      <c r="P154" s="7">
        <f t="shared" si="36"/>
        <v>0.34</v>
      </c>
      <c r="Q154" s="2">
        <f>ステ計算型!$I$29</f>
        <v>1</v>
      </c>
      <c r="R154" s="2">
        <f>ステ計算型!$E$33</f>
        <v>0.2</v>
      </c>
      <c r="S154" s="7">
        <f t="shared" si="37"/>
        <v>4.26</v>
      </c>
      <c r="T154" s="2">
        <f>ステ計算型!$I$27</f>
        <v>1.1000000000000001</v>
      </c>
      <c r="U154" s="2">
        <f>ステ計算型!$J$29</f>
        <v>2</v>
      </c>
      <c r="V154" s="2">
        <f>ステ計算型!$F$32</f>
        <v>0.75</v>
      </c>
      <c r="W154" s="2">
        <f>ステ計算型!$G$34</f>
        <v>1</v>
      </c>
      <c r="X154" s="7">
        <f t="shared" si="33"/>
        <v>75734.782200000016</v>
      </c>
      <c r="Y154" s="7">
        <f t="shared" si="30"/>
        <v>400</v>
      </c>
      <c r="Z154" s="7">
        <f t="shared" si="31"/>
        <v>1</v>
      </c>
      <c r="AA154" s="38">
        <f>IF(L154&lt;ステ計算型!$A$20,0,1)</f>
        <v>0</v>
      </c>
      <c r="AB154" s="3">
        <f t="shared" si="32"/>
        <v>0</v>
      </c>
    </row>
    <row r="155" spans="1:28" ht="8.25" customHeight="1">
      <c r="A155" s="3">
        <f t="shared" si="28"/>
        <v>0</v>
      </c>
      <c r="B155" s="2">
        <f>ステ計算型!$B$2</f>
        <v>101</v>
      </c>
      <c r="C155" s="7">
        <f>VLOOKUP(B155,ポイント!$A$1:$D$43,4,FALSE)</f>
        <v>571</v>
      </c>
      <c r="D155" s="2">
        <f>ステ計算型!$B$4</f>
        <v>5</v>
      </c>
      <c r="E155" s="2">
        <f>ステ計算型!$B$6</f>
        <v>127</v>
      </c>
      <c r="F155" s="2">
        <f>ステ計算型!$B$8</f>
        <v>10</v>
      </c>
      <c r="G155" s="2">
        <f>ステ計算型!$B$9</f>
        <v>82</v>
      </c>
      <c r="H155" s="7">
        <f t="shared" si="34"/>
        <v>347</v>
      </c>
      <c r="I155" s="5">
        <f>ステ計算型!$K$3</f>
        <v>7390</v>
      </c>
      <c r="J155" s="5">
        <f>ステ計算型!$N$3</f>
        <v>66</v>
      </c>
      <c r="K155" s="5">
        <v>156</v>
      </c>
      <c r="L155" s="7">
        <f t="shared" si="35"/>
        <v>191</v>
      </c>
      <c r="M155" s="7">
        <f t="shared" si="29"/>
        <v>21695</v>
      </c>
      <c r="N155" s="2">
        <v>1</v>
      </c>
      <c r="O155" s="7">
        <f t="shared" si="27"/>
        <v>0.34</v>
      </c>
      <c r="P155" s="7">
        <f t="shared" si="36"/>
        <v>0.34</v>
      </c>
      <c r="Q155" s="2">
        <f>ステ計算型!$I$29</f>
        <v>1</v>
      </c>
      <c r="R155" s="2">
        <f>ステ計算型!$E$33</f>
        <v>0.2</v>
      </c>
      <c r="S155" s="7">
        <f t="shared" si="37"/>
        <v>4.2720000000000002</v>
      </c>
      <c r="T155" s="2">
        <f>ステ計算型!$I$27</f>
        <v>1.1000000000000001</v>
      </c>
      <c r="U155" s="2">
        <f>ステ計算型!$J$29</f>
        <v>2</v>
      </c>
      <c r="V155" s="2">
        <f>ステ計算型!$F$32</f>
        <v>0.75</v>
      </c>
      <c r="W155" s="2">
        <f>ステ計算型!$G$34</f>
        <v>1</v>
      </c>
      <c r="X155" s="7">
        <f t="shared" si="33"/>
        <v>75619.918440000023</v>
      </c>
      <c r="Y155" s="7">
        <f t="shared" si="30"/>
        <v>400</v>
      </c>
      <c r="Z155" s="7">
        <f t="shared" si="31"/>
        <v>1</v>
      </c>
      <c r="AA155" s="38">
        <f>IF(L155&lt;ステ計算型!$A$20,0,1)</f>
        <v>0</v>
      </c>
      <c r="AB155" s="3">
        <f t="shared" si="32"/>
        <v>0</v>
      </c>
    </row>
    <row r="156" spans="1:28" ht="8.25" customHeight="1">
      <c r="A156" s="3">
        <f t="shared" si="28"/>
        <v>0</v>
      </c>
      <c r="B156" s="2">
        <f>ステ計算型!$B$2</f>
        <v>101</v>
      </c>
      <c r="C156" s="7">
        <f>VLOOKUP(B156,ポイント!$A$1:$D$43,4,FALSE)</f>
        <v>571</v>
      </c>
      <c r="D156" s="2">
        <f>ステ計算型!$B$4</f>
        <v>5</v>
      </c>
      <c r="E156" s="2">
        <f>ステ計算型!$B$6</f>
        <v>127</v>
      </c>
      <c r="F156" s="2">
        <f>ステ計算型!$B$8</f>
        <v>10</v>
      </c>
      <c r="G156" s="2">
        <f>ステ計算型!$B$9</f>
        <v>82</v>
      </c>
      <c r="H156" s="7">
        <f t="shared" si="34"/>
        <v>347</v>
      </c>
      <c r="I156" s="5">
        <f>ステ計算型!$K$3</f>
        <v>7390</v>
      </c>
      <c r="J156" s="5">
        <f>ステ計算型!$N$3</f>
        <v>66</v>
      </c>
      <c r="K156" s="5">
        <v>157</v>
      </c>
      <c r="L156" s="7">
        <f t="shared" si="35"/>
        <v>190</v>
      </c>
      <c r="M156" s="7">
        <f t="shared" si="29"/>
        <v>21621</v>
      </c>
      <c r="N156" s="2">
        <v>1</v>
      </c>
      <c r="O156" s="7">
        <f t="shared" si="27"/>
        <v>0.34</v>
      </c>
      <c r="P156" s="7">
        <f t="shared" si="36"/>
        <v>0.34</v>
      </c>
      <c r="Q156" s="2">
        <f>ステ計算型!$I$29</f>
        <v>1</v>
      </c>
      <c r="R156" s="2">
        <f>ステ計算型!$E$33</f>
        <v>0.2</v>
      </c>
      <c r="S156" s="7">
        <f t="shared" si="37"/>
        <v>4.2839999999999998</v>
      </c>
      <c r="T156" s="2">
        <f>ステ計算型!$I$27</f>
        <v>1.1000000000000001</v>
      </c>
      <c r="U156" s="2">
        <f>ステ計算型!$J$29</f>
        <v>2</v>
      </c>
      <c r="V156" s="2">
        <f>ステ計算型!$F$32</f>
        <v>0.75</v>
      </c>
      <c r="W156" s="2">
        <f>ステ計算型!$G$34</f>
        <v>1</v>
      </c>
      <c r="X156" s="7">
        <f t="shared" si="33"/>
        <v>75507.537204000022</v>
      </c>
      <c r="Y156" s="7">
        <f t="shared" si="30"/>
        <v>400</v>
      </c>
      <c r="Z156" s="7">
        <f t="shared" si="31"/>
        <v>1</v>
      </c>
      <c r="AA156" s="38">
        <f>IF(L156&lt;ステ計算型!$A$20,0,1)</f>
        <v>0</v>
      </c>
      <c r="AB156" s="3">
        <f t="shared" si="32"/>
        <v>0</v>
      </c>
    </row>
    <row r="157" spans="1:28" ht="8.25" customHeight="1">
      <c r="A157" s="3">
        <f t="shared" si="28"/>
        <v>0</v>
      </c>
      <c r="B157" s="2">
        <f>ステ計算型!$B$2</f>
        <v>101</v>
      </c>
      <c r="C157" s="7">
        <f>VLOOKUP(B157,ポイント!$A$1:$D$43,4,FALSE)</f>
        <v>571</v>
      </c>
      <c r="D157" s="2">
        <f>ステ計算型!$B$4</f>
        <v>5</v>
      </c>
      <c r="E157" s="2">
        <f>ステ計算型!$B$6</f>
        <v>127</v>
      </c>
      <c r="F157" s="2">
        <f>ステ計算型!$B$8</f>
        <v>10</v>
      </c>
      <c r="G157" s="2">
        <f>ステ計算型!$B$9</f>
        <v>82</v>
      </c>
      <c r="H157" s="7">
        <f t="shared" si="34"/>
        <v>347</v>
      </c>
      <c r="I157" s="5">
        <f>ステ計算型!$K$3</f>
        <v>7390</v>
      </c>
      <c r="J157" s="5">
        <f>ステ計算型!$N$3</f>
        <v>66</v>
      </c>
      <c r="K157" s="5">
        <v>158</v>
      </c>
      <c r="L157" s="7">
        <f t="shared" si="35"/>
        <v>189</v>
      </c>
      <c r="M157" s="7">
        <f t="shared" si="29"/>
        <v>21546</v>
      </c>
      <c r="N157" s="2">
        <v>1</v>
      </c>
      <c r="O157" s="7">
        <f t="shared" si="27"/>
        <v>0.35</v>
      </c>
      <c r="P157" s="7">
        <f t="shared" si="36"/>
        <v>0.35</v>
      </c>
      <c r="Q157" s="2">
        <f>ステ計算型!$I$29</f>
        <v>1</v>
      </c>
      <c r="R157" s="2">
        <f>ステ計算型!$E$33</f>
        <v>0.2</v>
      </c>
      <c r="S157" s="7">
        <f t="shared" si="37"/>
        <v>4.2960000000000003</v>
      </c>
      <c r="T157" s="2">
        <f>ステ計算型!$I$27</f>
        <v>1.1000000000000001</v>
      </c>
      <c r="U157" s="2">
        <f>ステ計算型!$J$29</f>
        <v>2</v>
      </c>
      <c r="V157" s="2">
        <f>ステ計算型!$F$32</f>
        <v>0.75</v>
      </c>
      <c r="W157" s="2">
        <f>ステ計算型!$G$34</f>
        <v>1</v>
      </c>
      <c r="X157" s="7">
        <f t="shared" si="33"/>
        <v>76562.418239999999</v>
      </c>
      <c r="Y157" s="7">
        <f t="shared" si="30"/>
        <v>400</v>
      </c>
      <c r="Z157" s="7">
        <f t="shared" si="31"/>
        <v>1</v>
      </c>
      <c r="AA157" s="38">
        <f>IF(L157&lt;ステ計算型!$A$20,0,1)</f>
        <v>0</v>
      </c>
      <c r="AB157" s="3">
        <f t="shared" si="32"/>
        <v>0</v>
      </c>
    </row>
    <row r="158" spans="1:28" ht="8.25" customHeight="1">
      <c r="A158" s="3">
        <f t="shared" si="28"/>
        <v>0</v>
      </c>
      <c r="B158" s="2">
        <f>ステ計算型!$B$2</f>
        <v>101</v>
      </c>
      <c r="C158" s="7">
        <f>VLOOKUP(B158,ポイント!$A$1:$D$43,4,FALSE)</f>
        <v>571</v>
      </c>
      <c r="D158" s="2">
        <f>ステ計算型!$B$4</f>
        <v>5</v>
      </c>
      <c r="E158" s="2">
        <f>ステ計算型!$B$6</f>
        <v>127</v>
      </c>
      <c r="F158" s="2">
        <f>ステ計算型!$B$8</f>
        <v>10</v>
      </c>
      <c r="G158" s="2">
        <f>ステ計算型!$B$9</f>
        <v>82</v>
      </c>
      <c r="H158" s="7">
        <f t="shared" si="34"/>
        <v>347</v>
      </c>
      <c r="I158" s="5">
        <f>ステ計算型!$K$3</f>
        <v>7390</v>
      </c>
      <c r="J158" s="5">
        <f>ステ計算型!$N$3</f>
        <v>66</v>
      </c>
      <c r="K158" s="5">
        <v>159</v>
      </c>
      <c r="L158" s="7">
        <f t="shared" si="35"/>
        <v>188</v>
      </c>
      <c r="M158" s="7">
        <f t="shared" si="29"/>
        <v>21471</v>
      </c>
      <c r="N158" s="2">
        <v>1</v>
      </c>
      <c r="O158" s="7">
        <f t="shared" si="27"/>
        <v>0.35</v>
      </c>
      <c r="P158" s="7">
        <f t="shared" si="36"/>
        <v>0.35</v>
      </c>
      <c r="Q158" s="2">
        <f>ステ計算型!$I$29</f>
        <v>1</v>
      </c>
      <c r="R158" s="2">
        <f>ステ計算型!$E$33</f>
        <v>0.2</v>
      </c>
      <c r="S158" s="7">
        <f t="shared" si="37"/>
        <v>4.3079999999999998</v>
      </c>
      <c r="T158" s="2">
        <f>ステ計算型!$I$27</f>
        <v>1.1000000000000001</v>
      </c>
      <c r="U158" s="2">
        <f>ステ計算型!$J$29</f>
        <v>2</v>
      </c>
      <c r="V158" s="2">
        <f>ステ計算型!$F$32</f>
        <v>0.75</v>
      </c>
      <c r="W158" s="2">
        <f>ステ計算型!$G$34</f>
        <v>1</v>
      </c>
      <c r="X158" s="7">
        <f t="shared" si="33"/>
        <v>76444.704269999987</v>
      </c>
      <c r="Y158" s="7">
        <f t="shared" si="30"/>
        <v>400</v>
      </c>
      <c r="Z158" s="7">
        <f t="shared" si="31"/>
        <v>1</v>
      </c>
      <c r="AA158" s="38">
        <f>IF(L158&lt;ステ計算型!$A$20,0,1)</f>
        <v>0</v>
      </c>
      <c r="AB158" s="3">
        <f t="shared" si="32"/>
        <v>0</v>
      </c>
    </row>
    <row r="159" spans="1:28" ht="8.25" customHeight="1">
      <c r="A159" s="3">
        <f t="shared" si="28"/>
        <v>0</v>
      </c>
      <c r="B159" s="2">
        <f>ステ計算型!$B$2</f>
        <v>101</v>
      </c>
      <c r="C159" s="7">
        <f>VLOOKUP(B159,ポイント!$A$1:$D$43,4,FALSE)</f>
        <v>571</v>
      </c>
      <c r="D159" s="2">
        <f>ステ計算型!$B$4</f>
        <v>5</v>
      </c>
      <c r="E159" s="2">
        <f>ステ計算型!$B$6</f>
        <v>127</v>
      </c>
      <c r="F159" s="2">
        <f>ステ計算型!$B$8</f>
        <v>10</v>
      </c>
      <c r="G159" s="2">
        <f>ステ計算型!$B$9</f>
        <v>82</v>
      </c>
      <c r="H159" s="7">
        <f t="shared" si="34"/>
        <v>347</v>
      </c>
      <c r="I159" s="5">
        <f>ステ計算型!$K$3</f>
        <v>7390</v>
      </c>
      <c r="J159" s="5">
        <f>ステ計算型!$N$3</f>
        <v>66</v>
      </c>
      <c r="K159" s="5">
        <v>160</v>
      </c>
      <c r="L159" s="7">
        <f t="shared" si="35"/>
        <v>187</v>
      </c>
      <c r="M159" s="7">
        <f t="shared" si="29"/>
        <v>21396</v>
      </c>
      <c r="N159" s="2">
        <v>1</v>
      </c>
      <c r="O159" s="7">
        <f t="shared" si="27"/>
        <v>0.35</v>
      </c>
      <c r="P159" s="7">
        <f t="shared" si="36"/>
        <v>0.35</v>
      </c>
      <c r="Q159" s="2">
        <f>ステ計算型!$I$29</f>
        <v>1</v>
      </c>
      <c r="R159" s="2">
        <f>ステ計算型!$E$33</f>
        <v>0.2</v>
      </c>
      <c r="S159" s="7">
        <f t="shared" si="37"/>
        <v>4.32</v>
      </c>
      <c r="T159" s="2">
        <f>ステ計算型!$I$27</f>
        <v>1.1000000000000001</v>
      </c>
      <c r="U159" s="2">
        <f>ステ計算型!$J$29</f>
        <v>2</v>
      </c>
      <c r="V159" s="2">
        <f>ステ計算型!$F$32</f>
        <v>0.75</v>
      </c>
      <c r="W159" s="2">
        <f>ステ計算型!$G$34</f>
        <v>1</v>
      </c>
      <c r="X159" s="7">
        <f t="shared" si="33"/>
        <v>76325.950800000006</v>
      </c>
      <c r="Y159" s="7">
        <f t="shared" si="30"/>
        <v>400</v>
      </c>
      <c r="Z159" s="7">
        <f t="shared" si="31"/>
        <v>1</v>
      </c>
      <c r="AA159" s="38">
        <f>IF(L159&lt;ステ計算型!$A$20,0,1)</f>
        <v>0</v>
      </c>
      <c r="AB159" s="3">
        <f t="shared" si="32"/>
        <v>0</v>
      </c>
    </row>
    <row r="160" spans="1:28" ht="8.25" customHeight="1">
      <c r="A160" s="3">
        <f t="shared" si="28"/>
        <v>0</v>
      </c>
      <c r="B160" s="2">
        <f>ステ計算型!$B$2</f>
        <v>101</v>
      </c>
      <c r="C160" s="7">
        <f>VLOOKUP(B160,ポイント!$A$1:$D$43,4,FALSE)</f>
        <v>571</v>
      </c>
      <c r="D160" s="2">
        <f>ステ計算型!$B$4</f>
        <v>5</v>
      </c>
      <c r="E160" s="2">
        <f>ステ計算型!$B$6</f>
        <v>127</v>
      </c>
      <c r="F160" s="2">
        <f>ステ計算型!$B$8</f>
        <v>10</v>
      </c>
      <c r="G160" s="2">
        <f>ステ計算型!$B$9</f>
        <v>82</v>
      </c>
      <c r="H160" s="7">
        <f t="shared" si="34"/>
        <v>347</v>
      </c>
      <c r="I160" s="5">
        <f>ステ計算型!$K$3</f>
        <v>7390</v>
      </c>
      <c r="J160" s="5">
        <f>ステ計算型!$N$3</f>
        <v>66</v>
      </c>
      <c r="K160" s="5">
        <v>161</v>
      </c>
      <c r="L160" s="7">
        <f t="shared" si="35"/>
        <v>186</v>
      </c>
      <c r="M160" s="7">
        <f t="shared" si="29"/>
        <v>21321</v>
      </c>
      <c r="N160" s="2">
        <v>1</v>
      </c>
      <c r="O160" s="7">
        <f t="shared" si="27"/>
        <v>0.35</v>
      </c>
      <c r="P160" s="7">
        <f t="shared" si="36"/>
        <v>0.35</v>
      </c>
      <c r="Q160" s="2">
        <f>ステ計算型!$I$29</f>
        <v>1</v>
      </c>
      <c r="R160" s="2">
        <f>ステ計算型!$E$33</f>
        <v>0.2</v>
      </c>
      <c r="S160" s="7">
        <f t="shared" si="37"/>
        <v>4.3319999999999999</v>
      </c>
      <c r="T160" s="2">
        <f>ステ計算型!$I$27</f>
        <v>1.1000000000000001</v>
      </c>
      <c r="U160" s="2">
        <f>ステ計算型!$J$29</f>
        <v>2</v>
      </c>
      <c r="V160" s="2">
        <f>ステ計算型!$F$32</f>
        <v>0.75</v>
      </c>
      <c r="W160" s="2">
        <f>ステ計算型!$G$34</f>
        <v>1</v>
      </c>
      <c r="X160" s="7">
        <f t="shared" si="33"/>
        <v>76206.157829999982</v>
      </c>
      <c r="Y160" s="7">
        <f t="shared" si="30"/>
        <v>400</v>
      </c>
      <c r="Z160" s="7">
        <f t="shared" si="31"/>
        <v>1</v>
      </c>
      <c r="AA160" s="38">
        <f>IF(L160&lt;ステ計算型!$A$20,0,1)</f>
        <v>0</v>
      </c>
      <c r="AB160" s="3">
        <f t="shared" si="32"/>
        <v>0</v>
      </c>
    </row>
    <row r="161" spans="1:28" ht="8.25" customHeight="1">
      <c r="A161" s="3">
        <f t="shared" si="28"/>
        <v>0</v>
      </c>
      <c r="B161" s="2">
        <f>ステ計算型!$B$2</f>
        <v>101</v>
      </c>
      <c r="C161" s="7">
        <f>VLOOKUP(B161,ポイント!$A$1:$D$43,4,FALSE)</f>
        <v>571</v>
      </c>
      <c r="D161" s="2">
        <f>ステ計算型!$B$4</f>
        <v>5</v>
      </c>
      <c r="E161" s="2">
        <f>ステ計算型!$B$6</f>
        <v>127</v>
      </c>
      <c r="F161" s="2">
        <f>ステ計算型!$B$8</f>
        <v>10</v>
      </c>
      <c r="G161" s="2">
        <f>ステ計算型!$B$9</f>
        <v>82</v>
      </c>
      <c r="H161" s="7">
        <f t="shared" si="34"/>
        <v>347</v>
      </c>
      <c r="I161" s="5">
        <f>ステ計算型!$K$3</f>
        <v>7390</v>
      </c>
      <c r="J161" s="5">
        <f>ステ計算型!$N$3</f>
        <v>66</v>
      </c>
      <c r="K161" s="5">
        <v>162</v>
      </c>
      <c r="L161" s="7">
        <f t="shared" si="35"/>
        <v>185</v>
      </c>
      <c r="M161" s="7">
        <f t="shared" si="29"/>
        <v>21246</v>
      </c>
      <c r="N161" s="2">
        <v>1</v>
      </c>
      <c r="O161" s="7">
        <f t="shared" si="27"/>
        <v>0.35</v>
      </c>
      <c r="P161" s="7">
        <f t="shared" si="36"/>
        <v>0.35</v>
      </c>
      <c r="Q161" s="2">
        <f>ステ計算型!$I$29</f>
        <v>1</v>
      </c>
      <c r="R161" s="2">
        <f>ステ計算型!$E$33</f>
        <v>0.2</v>
      </c>
      <c r="S161" s="7">
        <f t="shared" si="37"/>
        <v>4.3440000000000003</v>
      </c>
      <c r="T161" s="2">
        <f>ステ計算型!$I$27</f>
        <v>1.1000000000000001</v>
      </c>
      <c r="U161" s="2">
        <f>ステ計算型!$J$29</f>
        <v>2</v>
      </c>
      <c r="V161" s="2">
        <f>ステ計算型!$F$32</f>
        <v>0.75</v>
      </c>
      <c r="W161" s="2">
        <f>ステ計算型!$G$34</f>
        <v>1</v>
      </c>
      <c r="X161" s="7">
        <f t="shared" si="33"/>
        <v>76085.325359999988</v>
      </c>
      <c r="Y161" s="7">
        <f t="shared" si="30"/>
        <v>400</v>
      </c>
      <c r="Z161" s="7">
        <f t="shared" si="31"/>
        <v>1</v>
      </c>
      <c r="AA161" s="38">
        <f>IF(L161&lt;ステ計算型!$A$20,0,1)</f>
        <v>0</v>
      </c>
      <c r="AB161" s="3">
        <f t="shared" si="32"/>
        <v>0</v>
      </c>
    </row>
    <row r="162" spans="1:28" ht="8.25" customHeight="1">
      <c r="A162" s="3">
        <f t="shared" si="28"/>
        <v>0</v>
      </c>
      <c r="B162" s="2">
        <f>ステ計算型!$B$2</f>
        <v>101</v>
      </c>
      <c r="C162" s="7">
        <f>VLOOKUP(B162,ポイント!$A$1:$D$43,4,FALSE)</f>
        <v>571</v>
      </c>
      <c r="D162" s="2">
        <f>ステ計算型!$B$4</f>
        <v>5</v>
      </c>
      <c r="E162" s="2">
        <f>ステ計算型!$B$6</f>
        <v>127</v>
      </c>
      <c r="F162" s="2">
        <f>ステ計算型!$B$8</f>
        <v>10</v>
      </c>
      <c r="G162" s="2">
        <f>ステ計算型!$B$9</f>
        <v>82</v>
      </c>
      <c r="H162" s="7">
        <f t="shared" si="34"/>
        <v>347</v>
      </c>
      <c r="I162" s="5">
        <f>ステ計算型!$K$3</f>
        <v>7390</v>
      </c>
      <c r="J162" s="5">
        <f>ステ計算型!$N$3</f>
        <v>66</v>
      </c>
      <c r="K162" s="5">
        <v>163</v>
      </c>
      <c r="L162" s="7">
        <f t="shared" si="35"/>
        <v>184</v>
      </c>
      <c r="M162" s="7">
        <f t="shared" si="29"/>
        <v>21171</v>
      </c>
      <c r="N162" s="2">
        <v>1</v>
      </c>
      <c r="O162" s="7">
        <f t="shared" si="27"/>
        <v>0.35</v>
      </c>
      <c r="P162" s="7">
        <f t="shared" si="36"/>
        <v>0.35</v>
      </c>
      <c r="Q162" s="2">
        <f>ステ計算型!$I$29</f>
        <v>1</v>
      </c>
      <c r="R162" s="2">
        <f>ステ計算型!$E$33</f>
        <v>0.2</v>
      </c>
      <c r="S162" s="7">
        <f t="shared" si="37"/>
        <v>4.3559999999999999</v>
      </c>
      <c r="T162" s="2">
        <f>ステ計算型!$I$27</f>
        <v>1.1000000000000001</v>
      </c>
      <c r="U162" s="2">
        <f>ステ計算型!$J$29</f>
        <v>2</v>
      </c>
      <c r="V162" s="2">
        <f>ステ計算型!$F$32</f>
        <v>0.75</v>
      </c>
      <c r="W162" s="2">
        <f>ステ計算型!$G$34</f>
        <v>1</v>
      </c>
      <c r="X162" s="7">
        <f t="shared" si="33"/>
        <v>75963.45339000001</v>
      </c>
      <c r="Y162" s="7">
        <f t="shared" si="30"/>
        <v>400</v>
      </c>
      <c r="Z162" s="7">
        <f t="shared" si="31"/>
        <v>1</v>
      </c>
      <c r="AA162" s="38">
        <f>IF(L162&lt;ステ計算型!$A$20,0,1)</f>
        <v>0</v>
      </c>
      <c r="AB162" s="3">
        <f t="shared" si="32"/>
        <v>0</v>
      </c>
    </row>
    <row r="163" spans="1:28" ht="8.25" customHeight="1">
      <c r="A163" s="3">
        <f t="shared" si="28"/>
        <v>0</v>
      </c>
      <c r="B163" s="2">
        <f>ステ計算型!$B$2</f>
        <v>101</v>
      </c>
      <c r="C163" s="7">
        <f>VLOOKUP(B163,ポイント!$A$1:$D$43,4,FALSE)</f>
        <v>571</v>
      </c>
      <c r="D163" s="2">
        <f>ステ計算型!$B$4</f>
        <v>5</v>
      </c>
      <c r="E163" s="2">
        <f>ステ計算型!$B$6</f>
        <v>127</v>
      </c>
      <c r="F163" s="2">
        <f>ステ計算型!$B$8</f>
        <v>10</v>
      </c>
      <c r="G163" s="2">
        <f>ステ計算型!$B$9</f>
        <v>82</v>
      </c>
      <c r="H163" s="7">
        <f t="shared" si="34"/>
        <v>347</v>
      </c>
      <c r="I163" s="5">
        <f>ステ計算型!$K$3</f>
        <v>7390</v>
      </c>
      <c r="J163" s="5">
        <f>ステ計算型!$N$3</f>
        <v>66</v>
      </c>
      <c r="K163" s="5">
        <v>164</v>
      </c>
      <c r="L163" s="7">
        <f t="shared" si="35"/>
        <v>183</v>
      </c>
      <c r="M163" s="7">
        <f t="shared" si="29"/>
        <v>21096</v>
      </c>
      <c r="N163" s="2">
        <v>1</v>
      </c>
      <c r="O163" s="7">
        <f t="shared" si="27"/>
        <v>0.35</v>
      </c>
      <c r="P163" s="7">
        <f t="shared" si="36"/>
        <v>0.35</v>
      </c>
      <c r="Q163" s="2">
        <f>ステ計算型!$I$29</f>
        <v>1</v>
      </c>
      <c r="R163" s="2">
        <f>ステ計算型!$E$33</f>
        <v>0.2</v>
      </c>
      <c r="S163" s="7">
        <f t="shared" si="37"/>
        <v>4.3679999999999994</v>
      </c>
      <c r="T163" s="2">
        <f>ステ計算型!$I$27</f>
        <v>1.1000000000000001</v>
      </c>
      <c r="U163" s="2">
        <f>ステ計算型!$J$29</f>
        <v>2</v>
      </c>
      <c r="V163" s="2">
        <f>ステ計算型!$F$32</f>
        <v>0.75</v>
      </c>
      <c r="W163" s="2">
        <f>ステ計算型!$G$34</f>
        <v>1</v>
      </c>
      <c r="X163" s="7">
        <f t="shared" si="33"/>
        <v>75840.541919999989</v>
      </c>
      <c r="Y163" s="7">
        <f t="shared" si="30"/>
        <v>400</v>
      </c>
      <c r="Z163" s="7">
        <f t="shared" si="31"/>
        <v>1</v>
      </c>
      <c r="AA163" s="38">
        <f>IF(L163&lt;ステ計算型!$A$20,0,1)</f>
        <v>0</v>
      </c>
      <c r="AB163" s="3">
        <f t="shared" si="32"/>
        <v>0</v>
      </c>
    </row>
    <row r="164" spans="1:28" ht="8.25" customHeight="1">
      <c r="A164" s="3">
        <f t="shared" si="28"/>
        <v>0</v>
      </c>
      <c r="B164" s="2">
        <f>ステ計算型!$B$2</f>
        <v>101</v>
      </c>
      <c r="C164" s="7">
        <f>VLOOKUP(B164,ポイント!$A$1:$D$43,4,FALSE)</f>
        <v>571</v>
      </c>
      <c r="D164" s="2">
        <f>ステ計算型!$B$4</f>
        <v>5</v>
      </c>
      <c r="E164" s="2">
        <f>ステ計算型!$B$6</f>
        <v>127</v>
      </c>
      <c r="F164" s="2">
        <f>ステ計算型!$B$8</f>
        <v>10</v>
      </c>
      <c r="G164" s="2">
        <f>ステ計算型!$B$9</f>
        <v>82</v>
      </c>
      <c r="H164" s="7">
        <f t="shared" si="34"/>
        <v>347</v>
      </c>
      <c r="I164" s="5">
        <f>ステ計算型!$K$3</f>
        <v>7390</v>
      </c>
      <c r="J164" s="5">
        <f>ステ計算型!$N$3</f>
        <v>66</v>
      </c>
      <c r="K164" s="5">
        <v>165</v>
      </c>
      <c r="L164" s="7">
        <f t="shared" si="35"/>
        <v>182</v>
      </c>
      <c r="M164" s="7">
        <f t="shared" si="29"/>
        <v>21021</v>
      </c>
      <c r="N164" s="2">
        <v>1</v>
      </c>
      <c r="O164" s="7">
        <f t="shared" si="27"/>
        <v>0.35</v>
      </c>
      <c r="P164" s="7">
        <f t="shared" si="36"/>
        <v>0.35</v>
      </c>
      <c r="Q164" s="2">
        <f>ステ計算型!$I$29</f>
        <v>1</v>
      </c>
      <c r="R164" s="2">
        <f>ステ計算型!$E$33</f>
        <v>0.2</v>
      </c>
      <c r="S164" s="7">
        <f t="shared" si="37"/>
        <v>4.38</v>
      </c>
      <c r="T164" s="2">
        <f>ステ計算型!$I$27</f>
        <v>1.1000000000000001</v>
      </c>
      <c r="U164" s="2">
        <f>ステ計算型!$J$29</f>
        <v>2</v>
      </c>
      <c r="V164" s="2">
        <f>ステ計算型!$F$32</f>
        <v>0.75</v>
      </c>
      <c r="W164" s="2">
        <f>ステ計算型!$G$34</f>
        <v>1</v>
      </c>
      <c r="X164" s="7">
        <f t="shared" si="33"/>
        <v>75716.590949999998</v>
      </c>
      <c r="Y164" s="7">
        <f t="shared" si="30"/>
        <v>400</v>
      </c>
      <c r="Z164" s="7">
        <f t="shared" si="31"/>
        <v>1</v>
      </c>
      <c r="AA164" s="38">
        <f>IF(L164&lt;ステ計算型!$A$20,0,1)</f>
        <v>0</v>
      </c>
      <c r="AB164" s="3">
        <f t="shared" si="32"/>
        <v>0</v>
      </c>
    </row>
    <row r="165" spans="1:28" ht="8.25" customHeight="1">
      <c r="A165" s="3">
        <f t="shared" si="28"/>
        <v>0</v>
      </c>
      <c r="B165" s="2">
        <f>ステ計算型!$B$2</f>
        <v>101</v>
      </c>
      <c r="C165" s="7">
        <f>VLOOKUP(B165,ポイント!$A$1:$D$43,4,FALSE)</f>
        <v>571</v>
      </c>
      <c r="D165" s="2">
        <f>ステ計算型!$B$4</f>
        <v>5</v>
      </c>
      <c r="E165" s="2">
        <f>ステ計算型!$B$6</f>
        <v>127</v>
      </c>
      <c r="F165" s="2">
        <f>ステ計算型!$B$8</f>
        <v>10</v>
      </c>
      <c r="G165" s="2">
        <f>ステ計算型!$B$9</f>
        <v>82</v>
      </c>
      <c r="H165" s="7">
        <f t="shared" si="34"/>
        <v>347</v>
      </c>
      <c r="I165" s="5">
        <f>ステ計算型!$K$3</f>
        <v>7390</v>
      </c>
      <c r="J165" s="5">
        <f>ステ計算型!$N$3</f>
        <v>66</v>
      </c>
      <c r="K165" s="5">
        <v>166</v>
      </c>
      <c r="L165" s="7">
        <f t="shared" si="35"/>
        <v>181</v>
      </c>
      <c r="M165" s="7">
        <f t="shared" si="29"/>
        <v>20946</v>
      </c>
      <c r="N165" s="2">
        <v>1</v>
      </c>
      <c r="O165" s="7">
        <f t="shared" si="27"/>
        <v>0.36</v>
      </c>
      <c r="P165" s="7">
        <f t="shared" si="36"/>
        <v>0.36</v>
      </c>
      <c r="Q165" s="2">
        <f>ステ計算型!$I$29</f>
        <v>1</v>
      </c>
      <c r="R165" s="2">
        <f>ステ計算型!$E$33</f>
        <v>0.2</v>
      </c>
      <c r="S165" s="7">
        <f t="shared" si="37"/>
        <v>4.3920000000000003</v>
      </c>
      <c r="T165" s="2">
        <f>ステ計算型!$I$27</f>
        <v>1.1000000000000001</v>
      </c>
      <c r="U165" s="2">
        <f>ステ計算型!$J$29</f>
        <v>2</v>
      </c>
      <c r="V165" s="2">
        <f>ステ計算型!$F$32</f>
        <v>0.75</v>
      </c>
      <c r="W165" s="2">
        <f>ステ計算型!$G$34</f>
        <v>1</v>
      </c>
      <c r="X165" s="7">
        <f t="shared" si="33"/>
        <v>76763.906208000015</v>
      </c>
      <c r="Y165" s="7">
        <f t="shared" si="30"/>
        <v>400</v>
      </c>
      <c r="Z165" s="7">
        <f t="shared" si="31"/>
        <v>1</v>
      </c>
      <c r="AA165" s="38">
        <f>IF(L165&lt;ステ計算型!$A$20,0,1)</f>
        <v>0</v>
      </c>
      <c r="AB165" s="3">
        <f t="shared" si="32"/>
        <v>0</v>
      </c>
    </row>
    <row r="166" spans="1:28" ht="8.25" customHeight="1">
      <c r="A166" s="3">
        <f t="shared" si="28"/>
        <v>0</v>
      </c>
      <c r="B166" s="2">
        <f>ステ計算型!$B$2</f>
        <v>101</v>
      </c>
      <c r="C166" s="7">
        <f>VLOOKUP(B166,ポイント!$A$1:$D$43,4,FALSE)</f>
        <v>571</v>
      </c>
      <c r="D166" s="2">
        <f>ステ計算型!$B$4</f>
        <v>5</v>
      </c>
      <c r="E166" s="2">
        <f>ステ計算型!$B$6</f>
        <v>127</v>
      </c>
      <c r="F166" s="2">
        <f>ステ計算型!$B$8</f>
        <v>10</v>
      </c>
      <c r="G166" s="2">
        <f>ステ計算型!$B$9</f>
        <v>82</v>
      </c>
      <c r="H166" s="7">
        <f t="shared" si="34"/>
        <v>347</v>
      </c>
      <c r="I166" s="5">
        <f>ステ計算型!$K$3</f>
        <v>7390</v>
      </c>
      <c r="J166" s="5">
        <f>ステ計算型!$N$3</f>
        <v>66</v>
      </c>
      <c r="K166" s="5">
        <v>167</v>
      </c>
      <c r="L166" s="7">
        <f t="shared" si="35"/>
        <v>180</v>
      </c>
      <c r="M166" s="7">
        <f t="shared" si="29"/>
        <v>20872</v>
      </c>
      <c r="N166" s="2">
        <v>1</v>
      </c>
      <c r="O166" s="7">
        <f t="shared" si="27"/>
        <v>0.36</v>
      </c>
      <c r="P166" s="7">
        <f t="shared" si="36"/>
        <v>0.36</v>
      </c>
      <c r="Q166" s="2">
        <f>ステ計算型!$I$29</f>
        <v>1</v>
      </c>
      <c r="R166" s="2">
        <f>ステ計算型!$E$33</f>
        <v>0.2</v>
      </c>
      <c r="S166" s="7">
        <f t="shared" si="37"/>
        <v>4.4039999999999999</v>
      </c>
      <c r="T166" s="2">
        <f>ステ計算型!$I$27</f>
        <v>1.1000000000000001</v>
      </c>
      <c r="U166" s="2">
        <f>ステ計算型!$J$29</f>
        <v>2</v>
      </c>
      <c r="V166" s="2">
        <f>ステ計算型!$F$32</f>
        <v>0.75</v>
      </c>
      <c r="W166" s="2">
        <f>ステ計算型!$G$34</f>
        <v>1</v>
      </c>
      <c r="X166" s="7">
        <f t="shared" si="33"/>
        <v>76641.483072000017</v>
      </c>
      <c r="Y166" s="7">
        <f t="shared" si="30"/>
        <v>400</v>
      </c>
      <c r="Z166" s="7">
        <f t="shared" si="31"/>
        <v>1</v>
      </c>
      <c r="AA166" s="38">
        <f>IF(L166&lt;ステ計算型!$A$20,0,1)</f>
        <v>0</v>
      </c>
      <c r="AB166" s="3">
        <f t="shared" si="32"/>
        <v>0</v>
      </c>
    </row>
    <row r="167" spans="1:28" ht="8.25" customHeight="1">
      <c r="A167" s="3">
        <f t="shared" si="28"/>
        <v>0</v>
      </c>
      <c r="B167" s="2">
        <f>ステ計算型!$B$2</f>
        <v>101</v>
      </c>
      <c r="C167" s="7">
        <f>VLOOKUP(B167,ポイント!$A$1:$D$43,4,FALSE)</f>
        <v>571</v>
      </c>
      <c r="D167" s="2">
        <f>ステ計算型!$B$4</f>
        <v>5</v>
      </c>
      <c r="E167" s="2">
        <f>ステ計算型!$B$6</f>
        <v>127</v>
      </c>
      <c r="F167" s="2">
        <f>ステ計算型!$B$8</f>
        <v>10</v>
      </c>
      <c r="G167" s="2">
        <f>ステ計算型!$B$9</f>
        <v>82</v>
      </c>
      <c r="H167" s="7">
        <f t="shared" si="34"/>
        <v>347</v>
      </c>
      <c r="I167" s="5">
        <f>ステ計算型!$K$3</f>
        <v>7390</v>
      </c>
      <c r="J167" s="5">
        <f>ステ計算型!$N$3</f>
        <v>66</v>
      </c>
      <c r="K167" s="5">
        <v>168</v>
      </c>
      <c r="L167" s="7">
        <f t="shared" si="35"/>
        <v>179</v>
      </c>
      <c r="M167" s="7">
        <f t="shared" si="29"/>
        <v>20797</v>
      </c>
      <c r="N167" s="2">
        <v>1</v>
      </c>
      <c r="O167" s="7">
        <f t="shared" si="27"/>
        <v>0.36</v>
      </c>
      <c r="P167" s="7">
        <f t="shared" si="36"/>
        <v>0.36</v>
      </c>
      <c r="Q167" s="2">
        <f>ステ計算型!$I$29</f>
        <v>1</v>
      </c>
      <c r="R167" s="2">
        <f>ステ計算型!$E$33</f>
        <v>0.2</v>
      </c>
      <c r="S167" s="7">
        <f t="shared" si="37"/>
        <v>4.4159999999999995</v>
      </c>
      <c r="T167" s="2">
        <f>ステ計算型!$I$27</f>
        <v>1.1000000000000001</v>
      </c>
      <c r="U167" s="2">
        <f>ステ計算型!$J$29</f>
        <v>2</v>
      </c>
      <c r="V167" s="2">
        <f>ステ計算型!$F$32</f>
        <v>0.75</v>
      </c>
      <c r="W167" s="2">
        <f>ステ計算型!$G$34</f>
        <v>1</v>
      </c>
      <c r="X167" s="7">
        <f t="shared" si="33"/>
        <v>76514.325888000007</v>
      </c>
      <c r="Y167" s="7">
        <f t="shared" si="30"/>
        <v>400</v>
      </c>
      <c r="Z167" s="7">
        <f t="shared" si="31"/>
        <v>1</v>
      </c>
      <c r="AA167" s="38">
        <f>IF(L167&lt;ステ計算型!$A$20,0,1)</f>
        <v>0</v>
      </c>
      <c r="AB167" s="3">
        <f t="shared" si="32"/>
        <v>0</v>
      </c>
    </row>
    <row r="168" spans="1:28" ht="8.25" customHeight="1">
      <c r="A168" s="3">
        <f t="shared" si="28"/>
        <v>0</v>
      </c>
      <c r="B168" s="2">
        <f>ステ計算型!$B$2</f>
        <v>101</v>
      </c>
      <c r="C168" s="7">
        <f>VLOOKUP(B168,ポイント!$A$1:$D$43,4,FALSE)</f>
        <v>571</v>
      </c>
      <c r="D168" s="2">
        <f>ステ計算型!$B$4</f>
        <v>5</v>
      </c>
      <c r="E168" s="2">
        <f>ステ計算型!$B$6</f>
        <v>127</v>
      </c>
      <c r="F168" s="2">
        <f>ステ計算型!$B$8</f>
        <v>10</v>
      </c>
      <c r="G168" s="2">
        <f>ステ計算型!$B$9</f>
        <v>82</v>
      </c>
      <c r="H168" s="7">
        <f t="shared" si="34"/>
        <v>347</v>
      </c>
      <c r="I168" s="5">
        <f>ステ計算型!$K$3</f>
        <v>7390</v>
      </c>
      <c r="J168" s="5">
        <f>ステ計算型!$N$3</f>
        <v>66</v>
      </c>
      <c r="K168" s="5">
        <v>169</v>
      </c>
      <c r="L168" s="7">
        <f t="shared" si="35"/>
        <v>178</v>
      </c>
      <c r="M168" s="7">
        <f t="shared" si="29"/>
        <v>20722</v>
      </c>
      <c r="N168" s="2">
        <v>1</v>
      </c>
      <c r="O168" s="7">
        <f t="shared" si="27"/>
        <v>0.36</v>
      </c>
      <c r="P168" s="7">
        <f t="shared" si="36"/>
        <v>0.36</v>
      </c>
      <c r="Q168" s="2">
        <f>ステ計算型!$I$29</f>
        <v>1</v>
      </c>
      <c r="R168" s="2">
        <f>ステ計算型!$E$33</f>
        <v>0.2</v>
      </c>
      <c r="S168" s="7">
        <f t="shared" si="37"/>
        <v>4.4279999999999999</v>
      </c>
      <c r="T168" s="2">
        <f>ステ計算型!$I$27</f>
        <v>1.1000000000000001</v>
      </c>
      <c r="U168" s="2">
        <f>ステ計算型!$J$29</f>
        <v>2</v>
      </c>
      <c r="V168" s="2">
        <f>ステ計算型!$F$32</f>
        <v>0.75</v>
      </c>
      <c r="W168" s="2">
        <f>ステ計算型!$G$34</f>
        <v>1</v>
      </c>
      <c r="X168" s="7">
        <f t="shared" si="33"/>
        <v>76386.099504000013</v>
      </c>
      <c r="Y168" s="7">
        <f t="shared" si="30"/>
        <v>400</v>
      </c>
      <c r="Z168" s="7">
        <f t="shared" si="31"/>
        <v>1</v>
      </c>
      <c r="AA168" s="38">
        <f>IF(L168&lt;ステ計算型!$A$20,0,1)</f>
        <v>0</v>
      </c>
      <c r="AB168" s="3">
        <f t="shared" si="32"/>
        <v>0</v>
      </c>
    </row>
    <row r="169" spans="1:28" ht="8.25" customHeight="1">
      <c r="A169" s="3">
        <f t="shared" si="28"/>
        <v>0</v>
      </c>
      <c r="B169" s="2">
        <f>ステ計算型!$B$2</f>
        <v>101</v>
      </c>
      <c r="C169" s="7">
        <f>VLOOKUP(B169,ポイント!$A$1:$D$43,4,FALSE)</f>
        <v>571</v>
      </c>
      <c r="D169" s="2">
        <f>ステ計算型!$B$4</f>
        <v>5</v>
      </c>
      <c r="E169" s="2">
        <f>ステ計算型!$B$6</f>
        <v>127</v>
      </c>
      <c r="F169" s="2">
        <f>ステ計算型!$B$8</f>
        <v>10</v>
      </c>
      <c r="G169" s="2">
        <f>ステ計算型!$B$9</f>
        <v>82</v>
      </c>
      <c r="H169" s="7">
        <f t="shared" si="34"/>
        <v>347</v>
      </c>
      <c r="I169" s="5">
        <f>ステ計算型!$K$3</f>
        <v>7390</v>
      </c>
      <c r="J169" s="5">
        <f>ステ計算型!$N$3</f>
        <v>66</v>
      </c>
      <c r="K169" s="5">
        <v>170</v>
      </c>
      <c r="L169" s="7">
        <f t="shared" si="35"/>
        <v>177</v>
      </c>
      <c r="M169" s="7">
        <f t="shared" si="29"/>
        <v>20647</v>
      </c>
      <c r="N169" s="2">
        <v>1</v>
      </c>
      <c r="O169" s="7">
        <f t="shared" si="27"/>
        <v>0.36</v>
      </c>
      <c r="P169" s="7">
        <f t="shared" si="36"/>
        <v>0.36</v>
      </c>
      <c r="Q169" s="2">
        <f>ステ計算型!$I$29</f>
        <v>1</v>
      </c>
      <c r="R169" s="2">
        <f>ステ計算型!$E$33</f>
        <v>0.2</v>
      </c>
      <c r="S169" s="7">
        <f t="shared" si="37"/>
        <v>4.4400000000000004</v>
      </c>
      <c r="T169" s="2">
        <f>ステ計算型!$I$27</f>
        <v>1.1000000000000001</v>
      </c>
      <c r="U169" s="2">
        <f>ステ計算型!$J$29</f>
        <v>2</v>
      </c>
      <c r="V169" s="2">
        <f>ステ計算型!$F$32</f>
        <v>0.75</v>
      </c>
      <c r="W169" s="2">
        <f>ステ計算型!$G$34</f>
        <v>1</v>
      </c>
      <c r="X169" s="7">
        <f t="shared" si="33"/>
        <v>76256.803920000006</v>
      </c>
      <c r="Y169" s="7">
        <f t="shared" si="30"/>
        <v>400</v>
      </c>
      <c r="Z169" s="7">
        <f t="shared" si="31"/>
        <v>1</v>
      </c>
      <c r="AA169" s="38">
        <f>IF(L169&lt;ステ計算型!$A$20,0,1)</f>
        <v>0</v>
      </c>
      <c r="AB169" s="3">
        <f t="shared" si="32"/>
        <v>0</v>
      </c>
    </row>
    <row r="170" spans="1:28" ht="8.25" customHeight="1">
      <c r="A170" s="3">
        <f t="shared" si="28"/>
        <v>0</v>
      </c>
      <c r="B170" s="2">
        <f>ステ計算型!$B$2</f>
        <v>101</v>
      </c>
      <c r="C170" s="7">
        <f>VLOOKUP(B170,ポイント!$A$1:$D$43,4,FALSE)</f>
        <v>571</v>
      </c>
      <c r="D170" s="2">
        <f>ステ計算型!$B$4</f>
        <v>5</v>
      </c>
      <c r="E170" s="2">
        <f>ステ計算型!$B$6</f>
        <v>127</v>
      </c>
      <c r="F170" s="2">
        <f>ステ計算型!$B$8</f>
        <v>10</v>
      </c>
      <c r="G170" s="2">
        <f>ステ計算型!$B$9</f>
        <v>82</v>
      </c>
      <c r="H170" s="7">
        <f t="shared" si="34"/>
        <v>347</v>
      </c>
      <c r="I170" s="5">
        <f>ステ計算型!$K$3</f>
        <v>7390</v>
      </c>
      <c r="J170" s="5">
        <f>ステ計算型!$N$3</f>
        <v>66</v>
      </c>
      <c r="K170" s="5">
        <v>171</v>
      </c>
      <c r="L170" s="7">
        <f t="shared" si="35"/>
        <v>176</v>
      </c>
      <c r="M170" s="7">
        <f t="shared" si="29"/>
        <v>20572</v>
      </c>
      <c r="N170" s="2">
        <v>1</v>
      </c>
      <c r="O170" s="7">
        <f t="shared" si="27"/>
        <v>0.36</v>
      </c>
      <c r="P170" s="7">
        <f t="shared" si="36"/>
        <v>0.36</v>
      </c>
      <c r="Q170" s="2">
        <f>ステ計算型!$I$29</f>
        <v>1</v>
      </c>
      <c r="R170" s="2">
        <f>ステ計算型!$E$33</f>
        <v>0.2</v>
      </c>
      <c r="S170" s="7">
        <f t="shared" si="37"/>
        <v>4.452</v>
      </c>
      <c r="T170" s="2">
        <f>ステ計算型!$I$27</f>
        <v>1.1000000000000001</v>
      </c>
      <c r="U170" s="2">
        <f>ステ計算型!$J$29</f>
        <v>2</v>
      </c>
      <c r="V170" s="2">
        <f>ステ計算型!$F$32</f>
        <v>0.75</v>
      </c>
      <c r="W170" s="2">
        <f>ステ計算型!$G$34</f>
        <v>1</v>
      </c>
      <c r="X170" s="7">
        <f t="shared" si="33"/>
        <v>76126.439136000001</v>
      </c>
      <c r="Y170" s="7">
        <f t="shared" si="30"/>
        <v>400</v>
      </c>
      <c r="Z170" s="7">
        <f t="shared" si="31"/>
        <v>1</v>
      </c>
      <c r="AA170" s="38">
        <f>IF(L170&lt;ステ計算型!$A$20,0,1)</f>
        <v>0</v>
      </c>
      <c r="AB170" s="3">
        <f t="shared" si="32"/>
        <v>0</v>
      </c>
    </row>
    <row r="171" spans="1:28" ht="8.25" customHeight="1">
      <c r="A171" s="3">
        <f t="shared" si="28"/>
        <v>0</v>
      </c>
      <c r="B171" s="2">
        <f>ステ計算型!$B$2</f>
        <v>101</v>
      </c>
      <c r="C171" s="7">
        <f>VLOOKUP(B171,ポイント!$A$1:$D$43,4,FALSE)</f>
        <v>571</v>
      </c>
      <c r="D171" s="2">
        <f>ステ計算型!$B$4</f>
        <v>5</v>
      </c>
      <c r="E171" s="2">
        <f>ステ計算型!$B$6</f>
        <v>127</v>
      </c>
      <c r="F171" s="2">
        <f>ステ計算型!$B$8</f>
        <v>10</v>
      </c>
      <c r="G171" s="2">
        <f>ステ計算型!$B$9</f>
        <v>82</v>
      </c>
      <c r="H171" s="7">
        <f t="shared" si="34"/>
        <v>347</v>
      </c>
      <c r="I171" s="5">
        <f>ステ計算型!$K$3</f>
        <v>7390</v>
      </c>
      <c r="J171" s="5">
        <f>ステ計算型!$N$3</f>
        <v>66</v>
      </c>
      <c r="K171" s="5">
        <v>172</v>
      </c>
      <c r="L171" s="7">
        <f t="shared" si="35"/>
        <v>175</v>
      </c>
      <c r="M171" s="7">
        <f t="shared" si="29"/>
        <v>20497</v>
      </c>
      <c r="N171" s="2">
        <v>1</v>
      </c>
      <c r="O171" s="7">
        <f t="shared" si="27"/>
        <v>0.36</v>
      </c>
      <c r="P171" s="7">
        <f t="shared" si="36"/>
        <v>0.36</v>
      </c>
      <c r="Q171" s="2">
        <f>ステ計算型!$I$29</f>
        <v>1</v>
      </c>
      <c r="R171" s="2">
        <f>ステ計算型!$E$33</f>
        <v>0.2</v>
      </c>
      <c r="S171" s="7">
        <f t="shared" si="37"/>
        <v>4.4639999999999995</v>
      </c>
      <c r="T171" s="2">
        <f>ステ計算型!$I$27</f>
        <v>1.1000000000000001</v>
      </c>
      <c r="U171" s="2">
        <f>ステ計算型!$J$29</f>
        <v>2</v>
      </c>
      <c r="V171" s="2">
        <f>ステ計算型!$F$32</f>
        <v>0.75</v>
      </c>
      <c r="W171" s="2">
        <f>ステ計算型!$G$34</f>
        <v>1</v>
      </c>
      <c r="X171" s="7">
        <f t="shared" si="33"/>
        <v>75995.005151999998</v>
      </c>
      <c r="Y171" s="7">
        <f t="shared" si="30"/>
        <v>400</v>
      </c>
      <c r="Z171" s="7">
        <f t="shared" si="31"/>
        <v>1</v>
      </c>
      <c r="AA171" s="38">
        <f>IF(L171&lt;ステ計算型!$A$20,0,1)</f>
        <v>0</v>
      </c>
      <c r="AB171" s="3">
        <f t="shared" si="32"/>
        <v>0</v>
      </c>
    </row>
    <row r="172" spans="1:28" ht="8.25" customHeight="1">
      <c r="A172" s="3">
        <f t="shared" si="28"/>
        <v>0</v>
      </c>
      <c r="B172" s="2">
        <f>ステ計算型!$B$2</f>
        <v>101</v>
      </c>
      <c r="C172" s="7">
        <f>VLOOKUP(B172,ポイント!$A$1:$D$43,4,FALSE)</f>
        <v>571</v>
      </c>
      <c r="D172" s="2">
        <f>ステ計算型!$B$4</f>
        <v>5</v>
      </c>
      <c r="E172" s="2">
        <f>ステ計算型!$B$6</f>
        <v>127</v>
      </c>
      <c r="F172" s="2">
        <f>ステ計算型!$B$8</f>
        <v>10</v>
      </c>
      <c r="G172" s="2">
        <f>ステ計算型!$B$9</f>
        <v>82</v>
      </c>
      <c r="H172" s="7">
        <f t="shared" si="34"/>
        <v>347</v>
      </c>
      <c r="I172" s="5">
        <f>ステ計算型!$K$3</f>
        <v>7390</v>
      </c>
      <c r="J172" s="5">
        <f>ステ計算型!$N$3</f>
        <v>66</v>
      </c>
      <c r="K172" s="5">
        <v>173</v>
      </c>
      <c r="L172" s="7">
        <f t="shared" si="35"/>
        <v>174</v>
      </c>
      <c r="M172" s="7">
        <f t="shared" si="29"/>
        <v>20422</v>
      </c>
      <c r="N172" s="2">
        <v>1</v>
      </c>
      <c r="O172" s="7">
        <f t="shared" si="27"/>
        <v>0.37</v>
      </c>
      <c r="P172" s="7">
        <f t="shared" si="36"/>
        <v>0.37</v>
      </c>
      <c r="Q172" s="2">
        <f>ステ計算型!$I$29</f>
        <v>1</v>
      </c>
      <c r="R172" s="2">
        <f>ステ計算型!$E$33</f>
        <v>0.2</v>
      </c>
      <c r="S172" s="7">
        <f t="shared" si="37"/>
        <v>4.476</v>
      </c>
      <c r="T172" s="2">
        <f>ステ計算型!$I$27</f>
        <v>1.1000000000000001</v>
      </c>
      <c r="U172" s="2">
        <f>ステ計算型!$J$29</f>
        <v>2</v>
      </c>
      <c r="V172" s="2">
        <f>ステ計算型!$F$32</f>
        <v>0.75</v>
      </c>
      <c r="W172" s="2">
        <f>ステ計算型!$G$34</f>
        <v>1</v>
      </c>
      <c r="X172" s="7">
        <f t="shared" si="33"/>
        <v>77033.785356000008</v>
      </c>
      <c r="Y172" s="7">
        <f t="shared" si="30"/>
        <v>400</v>
      </c>
      <c r="Z172" s="7">
        <f t="shared" si="31"/>
        <v>1</v>
      </c>
      <c r="AA172" s="38">
        <f>IF(L172&lt;ステ計算型!$A$20,0,1)</f>
        <v>0</v>
      </c>
      <c r="AB172" s="3">
        <f t="shared" si="32"/>
        <v>0</v>
      </c>
    </row>
    <row r="173" spans="1:28" ht="8.25" customHeight="1">
      <c r="A173" s="3">
        <f t="shared" si="28"/>
        <v>0</v>
      </c>
      <c r="B173" s="2">
        <f>ステ計算型!$B$2</f>
        <v>101</v>
      </c>
      <c r="C173" s="7">
        <f>VLOOKUP(B173,ポイント!$A$1:$D$43,4,FALSE)</f>
        <v>571</v>
      </c>
      <c r="D173" s="2">
        <f>ステ計算型!$B$4</f>
        <v>5</v>
      </c>
      <c r="E173" s="2">
        <f>ステ計算型!$B$6</f>
        <v>127</v>
      </c>
      <c r="F173" s="2">
        <f>ステ計算型!$B$8</f>
        <v>10</v>
      </c>
      <c r="G173" s="2">
        <f>ステ計算型!$B$9</f>
        <v>82</v>
      </c>
      <c r="H173" s="7">
        <f t="shared" si="34"/>
        <v>347</v>
      </c>
      <c r="I173" s="5">
        <f>ステ計算型!$K$3</f>
        <v>7390</v>
      </c>
      <c r="J173" s="5">
        <f>ステ計算型!$N$3</f>
        <v>66</v>
      </c>
      <c r="K173" s="5">
        <v>174</v>
      </c>
      <c r="L173" s="7">
        <f t="shared" si="35"/>
        <v>173</v>
      </c>
      <c r="M173" s="7">
        <f t="shared" si="29"/>
        <v>20347</v>
      </c>
      <c r="N173" s="2">
        <v>1</v>
      </c>
      <c r="O173" s="7">
        <f t="shared" si="27"/>
        <v>0.37</v>
      </c>
      <c r="P173" s="7">
        <f t="shared" si="36"/>
        <v>0.37</v>
      </c>
      <c r="Q173" s="2">
        <f>ステ計算型!$I$29</f>
        <v>1</v>
      </c>
      <c r="R173" s="2">
        <f>ステ計算型!$E$33</f>
        <v>0.2</v>
      </c>
      <c r="S173" s="7">
        <f t="shared" si="37"/>
        <v>4.4880000000000004</v>
      </c>
      <c r="T173" s="2">
        <f>ステ計算型!$I$27</f>
        <v>1.1000000000000001</v>
      </c>
      <c r="U173" s="2">
        <f>ステ計算型!$J$29</f>
        <v>2</v>
      </c>
      <c r="V173" s="2">
        <f>ステ計算型!$F$32</f>
        <v>0.75</v>
      </c>
      <c r="W173" s="2">
        <f>ステ計算型!$G$34</f>
        <v>1</v>
      </c>
      <c r="X173" s="7">
        <f t="shared" si="33"/>
        <v>76899.940128000017</v>
      </c>
      <c r="Y173" s="7">
        <f t="shared" si="30"/>
        <v>400</v>
      </c>
      <c r="Z173" s="7">
        <f t="shared" si="31"/>
        <v>1</v>
      </c>
      <c r="AA173" s="38">
        <f>IF(L173&lt;ステ計算型!$A$20,0,1)</f>
        <v>0</v>
      </c>
      <c r="AB173" s="3">
        <f t="shared" si="32"/>
        <v>0</v>
      </c>
    </row>
    <row r="174" spans="1:28" ht="8.25" customHeight="1">
      <c r="A174" s="3">
        <f t="shared" si="28"/>
        <v>0</v>
      </c>
      <c r="B174" s="2">
        <f>ステ計算型!$B$2</f>
        <v>101</v>
      </c>
      <c r="C174" s="7">
        <f>VLOOKUP(B174,ポイント!$A$1:$D$43,4,FALSE)</f>
        <v>571</v>
      </c>
      <c r="D174" s="2">
        <f>ステ計算型!$B$4</f>
        <v>5</v>
      </c>
      <c r="E174" s="2">
        <f>ステ計算型!$B$6</f>
        <v>127</v>
      </c>
      <c r="F174" s="2">
        <f>ステ計算型!$B$8</f>
        <v>10</v>
      </c>
      <c r="G174" s="2">
        <f>ステ計算型!$B$9</f>
        <v>82</v>
      </c>
      <c r="H174" s="7">
        <f t="shared" si="34"/>
        <v>347</v>
      </c>
      <c r="I174" s="5">
        <f>ステ計算型!$K$3</f>
        <v>7390</v>
      </c>
      <c r="J174" s="5">
        <f>ステ計算型!$N$3</f>
        <v>66</v>
      </c>
      <c r="K174" s="5">
        <v>175</v>
      </c>
      <c r="L174" s="7">
        <f t="shared" si="35"/>
        <v>172</v>
      </c>
      <c r="M174" s="7">
        <f t="shared" si="29"/>
        <v>20272</v>
      </c>
      <c r="N174" s="2">
        <v>1</v>
      </c>
      <c r="O174" s="7">
        <f t="shared" si="27"/>
        <v>0.37</v>
      </c>
      <c r="P174" s="7">
        <f t="shared" si="36"/>
        <v>0.37</v>
      </c>
      <c r="Q174" s="2">
        <f>ステ計算型!$I$29</f>
        <v>1</v>
      </c>
      <c r="R174" s="2">
        <f>ステ計算型!$E$33</f>
        <v>0.2</v>
      </c>
      <c r="S174" s="7">
        <f t="shared" si="37"/>
        <v>4.5</v>
      </c>
      <c r="T174" s="2">
        <f>ステ計算型!$I$27</f>
        <v>1.1000000000000001</v>
      </c>
      <c r="U174" s="2">
        <f>ステ計算型!$J$29</f>
        <v>2</v>
      </c>
      <c r="V174" s="2">
        <f>ステ計算型!$F$32</f>
        <v>0.75</v>
      </c>
      <c r="W174" s="2">
        <f>ステ計算型!$G$34</f>
        <v>1</v>
      </c>
      <c r="X174" s="7">
        <f t="shared" si="33"/>
        <v>76764.996000000014</v>
      </c>
      <c r="Y174" s="7">
        <f t="shared" si="30"/>
        <v>400</v>
      </c>
      <c r="Z174" s="7">
        <f t="shared" si="31"/>
        <v>1</v>
      </c>
      <c r="AA174" s="38">
        <f>IF(L174&lt;ステ計算型!$A$20,0,1)</f>
        <v>0</v>
      </c>
      <c r="AB174" s="3">
        <f t="shared" si="32"/>
        <v>0</v>
      </c>
    </row>
    <row r="175" spans="1:28" ht="8.25" customHeight="1">
      <c r="A175" s="3">
        <f t="shared" si="28"/>
        <v>0</v>
      </c>
      <c r="B175" s="2">
        <f>ステ計算型!$B$2</f>
        <v>101</v>
      </c>
      <c r="C175" s="7">
        <f>VLOOKUP(B175,ポイント!$A$1:$D$43,4,FALSE)</f>
        <v>571</v>
      </c>
      <c r="D175" s="2">
        <f>ステ計算型!$B$4</f>
        <v>5</v>
      </c>
      <c r="E175" s="2">
        <f>ステ計算型!$B$6</f>
        <v>127</v>
      </c>
      <c r="F175" s="2">
        <f>ステ計算型!$B$8</f>
        <v>10</v>
      </c>
      <c r="G175" s="2">
        <f>ステ計算型!$B$9</f>
        <v>82</v>
      </c>
      <c r="H175" s="7">
        <f t="shared" si="34"/>
        <v>347</v>
      </c>
      <c r="I175" s="5">
        <f>ステ計算型!$K$3</f>
        <v>7390</v>
      </c>
      <c r="J175" s="5">
        <f>ステ計算型!$N$3</f>
        <v>66</v>
      </c>
      <c r="K175" s="5">
        <v>176</v>
      </c>
      <c r="L175" s="7">
        <f t="shared" si="35"/>
        <v>171</v>
      </c>
      <c r="M175" s="7">
        <f t="shared" si="29"/>
        <v>20197</v>
      </c>
      <c r="N175" s="2">
        <v>1</v>
      </c>
      <c r="O175" s="7">
        <f t="shared" si="27"/>
        <v>0.37</v>
      </c>
      <c r="P175" s="7">
        <f t="shared" si="36"/>
        <v>0.37</v>
      </c>
      <c r="Q175" s="2">
        <f>ステ計算型!$I$29</f>
        <v>1</v>
      </c>
      <c r="R175" s="2">
        <f>ステ計算型!$E$33</f>
        <v>0.2</v>
      </c>
      <c r="S175" s="7">
        <f t="shared" si="37"/>
        <v>4.5119999999999996</v>
      </c>
      <c r="T175" s="2">
        <f>ステ計算型!$I$27</f>
        <v>1.1000000000000001</v>
      </c>
      <c r="U175" s="2">
        <f>ステ計算型!$J$29</f>
        <v>2</v>
      </c>
      <c r="V175" s="2">
        <f>ステ計算型!$F$32</f>
        <v>0.75</v>
      </c>
      <c r="W175" s="2">
        <f>ステ計算型!$G$34</f>
        <v>1</v>
      </c>
      <c r="X175" s="7">
        <f t="shared" si="33"/>
        <v>76628.952971999999</v>
      </c>
      <c r="Y175" s="7">
        <f t="shared" si="30"/>
        <v>400</v>
      </c>
      <c r="Z175" s="7">
        <f t="shared" si="31"/>
        <v>1</v>
      </c>
      <c r="AA175" s="38">
        <f>IF(L175&lt;ステ計算型!$A$20,0,1)</f>
        <v>0</v>
      </c>
      <c r="AB175" s="3">
        <f t="shared" si="32"/>
        <v>0</v>
      </c>
    </row>
    <row r="176" spans="1:28" ht="8.25" customHeight="1">
      <c r="A176" s="3">
        <f t="shared" si="28"/>
        <v>0</v>
      </c>
      <c r="B176" s="2">
        <f>ステ計算型!$B$2</f>
        <v>101</v>
      </c>
      <c r="C176" s="7">
        <f>VLOOKUP(B176,ポイント!$A$1:$D$43,4,FALSE)</f>
        <v>571</v>
      </c>
      <c r="D176" s="2">
        <f>ステ計算型!$B$4</f>
        <v>5</v>
      </c>
      <c r="E176" s="2">
        <f>ステ計算型!$B$6</f>
        <v>127</v>
      </c>
      <c r="F176" s="2">
        <f>ステ計算型!$B$8</f>
        <v>10</v>
      </c>
      <c r="G176" s="2">
        <f>ステ計算型!$B$9</f>
        <v>82</v>
      </c>
      <c r="H176" s="7">
        <f t="shared" si="34"/>
        <v>347</v>
      </c>
      <c r="I176" s="5">
        <f>ステ計算型!$K$3</f>
        <v>7390</v>
      </c>
      <c r="J176" s="5">
        <f>ステ計算型!$N$3</f>
        <v>66</v>
      </c>
      <c r="K176" s="5">
        <v>177</v>
      </c>
      <c r="L176" s="7">
        <f t="shared" si="35"/>
        <v>170</v>
      </c>
      <c r="M176" s="7">
        <f t="shared" si="29"/>
        <v>20123</v>
      </c>
      <c r="N176" s="2">
        <v>1</v>
      </c>
      <c r="O176" s="7">
        <f t="shared" si="27"/>
        <v>0.37</v>
      </c>
      <c r="P176" s="7">
        <f t="shared" si="36"/>
        <v>0.37</v>
      </c>
      <c r="Q176" s="2">
        <f>ステ計算型!$I$29</f>
        <v>1</v>
      </c>
      <c r="R176" s="2">
        <f>ステ計算型!$E$33</f>
        <v>0.2</v>
      </c>
      <c r="S176" s="7">
        <f t="shared" si="37"/>
        <v>4.524</v>
      </c>
      <c r="T176" s="2">
        <f>ステ計算型!$I$27</f>
        <v>1.1000000000000001</v>
      </c>
      <c r="U176" s="2">
        <f>ステ計算型!$J$29</f>
        <v>2</v>
      </c>
      <c r="V176" s="2">
        <f>ステ計算型!$F$32</f>
        <v>0.75</v>
      </c>
      <c r="W176" s="2">
        <f>ステ計算型!$G$34</f>
        <v>1</v>
      </c>
      <c r="X176" s="7">
        <f t="shared" si="33"/>
        <v>76495.612446000014</v>
      </c>
      <c r="Y176" s="7">
        <f t="shared" si="30"/>
        <v>400</v>
      </c>
      <c r="Z176" s="7">
        <f t="shared" si="31"/>
        <v>1</v>
      </c>
      <c r="AA176" s="38">
        <f>IF(L176&lt;ステ計算型!$A$20,0,1)</f>
        <v>0</v>
      </c>
      <c r="AB176" s="3">
        <f t="shared" si="32"/>
        <v>0</v>
      </c>
    </row>
    <row r="177" spans="1:28" ht="8.25" customHeight="1">
      <c r="A177" s="3">
        <f t="shared" si="28"/>
        <v>0</v>
      </c>
      <c r="B177" s="2">
        <f>ステ計算型!$B$2</f>
        <v>101</v>
      </c>
      <c r="C177" s="7">
        <f>VLOOKUP(B177,ポイント!$A$1:$D$43,4,FALSE)</f>
        <v>571</v>
      </c>
      <c r="D177" s="2">
        <f>ステ計算型!$B$4</f>
        <v>5</v>
      </c>
      <c r="E177" s="2">
        <f>ステ計算型!$B$6</f>
        <v>127</v>
      </c>
      <c r="F177" s="2">
        <f>ステ計算型!$B$8</f>
        <v>10</v>
      </c>
      <c r="G177" s="2">
        <f>ステ計算型!$B$9</f>
        <v>82</v>
      </c>
      <c r="H177" s="7">
        <f t="shared" si="34"/>
        <v>347</v>
      </c>
      <c r="I177" s="5">
        <f>ステ計算型!$K$3</f>
        <v>7390</v>
      </c>
      <c r="J177" s="5">
        <f>ステ計算型!$N$3</f>
        <v>66</v>
      </c>
      <c r="K177" s="5">
        <v>178</v>
      </c>
      <c r="L177" s="7">
        <f t="shared" si="35"/>
        <v>169</v>
      </c>
      <c r="M177" s="7">
        <f t="shared" si="29"/>
        <v>20048</v>
      </c>
      <c r="N177" s="2">
        <v>1</v>
      </c>
      <c r="O177" s="7">
        <f t="shared" si="27"/>
        <v>0.37</v>
      </c>
      <c r="P177" s="7">
        <f t="shared" si="36"/>
        <v>0.37</v>
      </c>
      <c r="Q177" s="2">
        <f>ステ計算型!$I$29</f>
        <v>1</v>
      </c>
      <c r="R177" s="2">
        <f>ステ計算型!$E$33</f>
        <v>0.2</v>
      </c>
      <c r="S177" s="7">
        <f t="shared" si="37"/>
        <v>4.5360000000000005</v>
      </c>
      <c r="T177" s="2">
        <f>ステ計算型!$I$27</f>
        <v>1.1000000000000001</v>
      </c>
      <c r="U177" s="2">
        <f>ステ計算型!$J$29</f>
        <v>2</v>
      </c>
      <c r="V177" s="2">
        <f>ステ計算型!$F$32</f>
        <v>0.75</v>
      </c>
      <c r="W177" s="2">
        <f>ステ計算型!$G$34</f>
        <v>1</v>
      </c>
      <c r="X177" s="7">
        <f t="shared" si="33"/>
        <v>76357.378944000011</v>
      </c>
      <c r="Y177" s="7">
        <f t="shared" si="30"/>
        <v>400</v>
      </c>
      <c r="Z177" s="7">
        <f t="shared" si="31"/>
        <v>1</v>
      </c>
      <c r="AA177" s="38">
        <f>IF(L177&lt;ステ計算型!$A$20,0,1)</f>
        <v>0</v>
      </c>
      <c r="AB177" s="3">
        <f t="shared" si="32"/>
        <v>0</v>
      </c>
    </row>
    <row r="178" spans="1:28" ht="8.25" customHeight="1">
      <c r="A178" s="3">
        <f t="shared" si="28"/>
        <v>0</v>
      </c>
      <c r="B178" s="2">
        <f>ステ計算型!$B$2</f>
        <v>101</v>
      </c>
      <c r="C178" s="7">
        <f>VLOOKUP(B178,ポイント!$A$1:$D$43,4,FALSE)</f>
        <v>571</v>
      </c>
      <c r="D178" s="2">
        <f>ステ計算型!$B$4</f>
        <v>5</v>
      </c>
      <c r="E178" s="2">
        <f>ステ計算型!$B$6</f>
        <v>127</v>
      </c>
      <c r="F178" s="2">
        <f>ステ計算型!$B$8</f>
        <v>10</v>
      </c>
      <c r="G178" s="2">
        <f>ステ計算型!$B$9</f>
        <v>82</v>
      </c>
      <c r="H178" s="7">
        <f t="shared" si="34"/>
        <v>347</v>
      </c>
      <c r="I178" s="5">
        <f>ステ計算型!$K$3</f>
        <v>7390</v>
      </c>
      <c r="J178" s="5">
        <f>ステ計算型!$N$3</f>
        <v>66</v>
      </c>
      <c r="K178" s="5">
        <v>179</v>
      </c>
      <c r="L178" s="7">
        <f t="shared" si="35"/>
        <v>168</v>
      </c>
      <c r="M178" s="7">
        <f t="shared" si="29"/>
        <v>19973</v>
      </c>
      <c r="N178" s="2">
        <v>1</v>
      </c>
      <c r="O178" s="7">
        <f t="shared" si="27"/>
        <v>0.37</v>
      </c>
      <c r="P178" s="7">
        <f t="shared" si="36"/>
        <v>0.37</v>
      </c>
      <c r="Q178" s="2">
        <f>ステ計算型!$I$29</f>
        <v>1</v>
      </c>
      <c r="R178" s="2">
        <f>ステ計算型!$E$33</f>
        <v>0.2</v>
      </c>
      <c r="S178" s="7">
        <f t="shared" si="37"/>
        <v>4.548</v>
      </c>
      <c r="T178" s="2">
        <f>ステ計算型!$I$27</f>
        <v>1.1000000000000001</v>
      </c>
      <c r="U178" s="2">
        <f>ステ計算型!$J$29</f>
        <v>2</v>
      </c>
      <c r="V178" s="2">
        <f>ステ計算型!$F$32</f>
        <v>0.75</v>
      </c>
      <c r="W178" s="2">
        <f>ステ計算型!$G$34</f>
        <v>1</v>
      </c>
      <c r="X178" s="7">
        <f t="shared" si="33"/>
        <v>76218.046542000011</v>
      </c>
      <c r="Y178" s="7">
        <f t="shared" si="30"/>
        <v>400</v>
      </c>
      <c r="Z178" s="7">
        <f t="shared" si="31"/>
        <v>1</v>
      </c>
      <c r="AA178" s="38">
        <f>IF(L178&lt;ステ計算型!$A$20,0,1)</f>
        <v>0</v>
      </c>
      <c r="AB178" s="3">
        <f t="shared" si="32"/>
        <v>0</v>
      </c>
    </row>
    <row r="179" spans="1:28" ht="8.25" customHeight="1">
      <c r="A179" s="3">
        <f t="shared" si="28"/>
        <v>0</v>
      </c>
      <c r="B179" s="2">
        <f>ステ計算型!$B$2</f>
        <v>101</v>
      </c>
      <c r="C179" s="7">
        <f>VLOOKUP(B179,ポイント!$A$1:$D$43,4,FALSE)</f>
        <v>571</v>
      </c>
      <c r="D179" s="2">
        <f>ステ計算型!$B$4</f>
        <v>5</v>
      </c>
      <c r="E179" s="2">
        <f>ステ計算型!$B$6</f>
        <v>127</v>
      </c>
      <c r="F179" s="2">
        <f>ステ計算型!$B$8</f>
        <v>10</v>
      </c>
      <c r="G179" s="2">
        <f>ステ計算型!$B$9</f>
        <v>82</v>
      </c>
      <c r="H179" s="7">
        <f t="shared" si="34"/>
        <v>347</v>
      </c>
      <c r="I179" s="5">
        <f>ステ計算型!$K$3</f>
        <v>7390</v>
      </c>
      <c r="J179" s="5">
        <f>ステ計算型!$N$3</f>
        <v>66</v>
      </c>
      <c r="K179" s="5">
        <v>180</v>
      </c>
      <c r="L179" s="7">
        <f t="shared" si="35"/>
        <v>167</v>
      </c>
      <c r="M179" s="7">
        <f t="shared" si="29"/>
        <v>19898</v>
      </c>
      <c r="N179" s="2">
        <v>1</v>
      </c>
      <c r="O179" s="7">
        <f t="shared" si="27"/>
        <v>0.37</v>
      </c>
      <c r="P179" s="7">
        <f t="shared" si="36"/>
        <v>0.37</v>
      </c>
      <c r="Q179" s="2">
        <f>ステ計算型!$I$29</f>
        <v>1</v>
      </c>
      <c r="R179" s="2">
        <f>ステ計算型!$E$33</f>
        <v>0.2</v>
      </c>
      <c r="S179" s="7">
        <f t="shared" si="37"/>
        <v>4.5599999999999996</v>
      </c>
      <c r="T179" s="2">
        <f>ステ計算型!$I$27</f>
        <v>1.1000000000000001</v>
      </c>
      <c r="U179" s="2">
        <f>ステ計算型!$J$29</f>
        <v>2</v>
      </c>
      <c r="V179" s="2">
        <f>ステ計算型!$F$32</f>
        <v>0.75</v>
      </c>
      <c r="W179" s="2">
        <f>ステ計算型!$G$34</f>
        <v>1</v>
      </c>
      <c r="X179" s="7">
        <f t="shared" si="33"/>
        <v>76077.615239999999</v>
      </c>
      <c r="Y179" s="7">
        <f t="shared" si="30"/>
        <v>400</v>
      </c>
      <c r="Z179" s="7">
        <f t="shared" si="31"/>
        <v>1</v>
      </c>
      <c r="AA179" s="38">
        <f>IF(L179&lt;ステ計算型!$A$20,0,1)</f>
        <v>0</v>
      </c>
      <c r="AB179" s="3">
        <f t="shared" si="32"/>
        <v>0</v>
      </c>
    </row>
    <row r="180" spans="1:28" ht="8.25" customHeight="1">
      <c r="A180" s="3">
        <f t="shared" si="28"/>
        <v>0</v>
      </c>
      <c r="B180" s="2">
        <f>ステ計算型!$B$2</f>
        <v>101</v>
      </c>
      <c r="C180" s="7">
        <f>VLOOKUP(B180,ポイント!$A$1:$D$43,4,FALSE)</f>
        <v>571</v>
      </c>
      <c r="D180" s="2">
        <f>ステ計算型!$B$4</f>
        <v>5</v>
      </c>
      <c r="E180" s="2">
        <f>ステ計算型!$B$6</f>
        <v>127</v>
      </c>
      <c r="F180" s="2">
        <f>ステ計算型!$B$8</f>
        <v>10</v>
      </c>
      <c r="G180" s="2">
        <f>ステ計算型!$B$9</f>
        <v>82</v>
      </c>
      <c r="H180" s="7">
        <f t="shared" si="34"/>
        <v>347</v>
      </c>
      <c r="I180" s="5">
        <f>ステ計算型!$K$3</f>
        <v>7390</v>
      </c>
      <c r="J180" s="5">
        <f>ステ計算型!$N$3</f>
        <v>66</v>
      </c>
      <c r="K180" s="5">
        <v>181</v>
      </c>
      <c r="L180" s="7">
        <f t="shared" si="35"/>
        <v>166</v>
      </c>
      <c r="M180" s="7">
        <f t="shared" si="29"/>
        <v>19823</v>
      </c>
      <c r="N180" s="2">
        <v>1</v>
      </c>
      <c r="O180" s="7">
        <f t="shared" si="27"/>
        <v>0.38</v>
      </c>
      <c r="P180" s="7">
        <f t="shared" si="36"/>
        <v>0.38</v>
      </c>
      <c r="Q180" s="2">
        <f>ステ計算型!$I$29</f>
        <v>1</v>
      </c>
      <c r="R180" s="2">
        <f>ステ計算型!$E$33</f>
        <v>0.2</v>
      </c>
      <c r="S180" s="7">
        <f t="shared" si="37"/>
        <v>4.5720000000000001</v>
      </c>
      <c r="T180" s="2">
        <f>ステ計算型!$I$27</f>
        <v>1.1000000000000001</v>
      </c>
      <c r="U180" s="2">
        <f>ステ計算型!$J$29</f>
        <v>2</v>
      </c>
      <c r="V180" s="2">
        <f>ステ計算型!$F$32</f>
        <v>0.75</v>
      </c>
      <c r="W180" s="2">
        <f>ステ計算型!$G$34</f>
        <v>1</v>
      </c>
      <c r="X180" s="7">
        <f t="shared" si="33"/>
        <v>77104.413012000005</v>
      </c>
      <c r="Y180" s="7">
        <f t="shared" si="30"/>
        <v>400</v>
      </c>
      <c r="Z180" s="7">
        <f t="shared" si="31"/>
        <v>1</v>
      </c>
      <c r="AA180" s="38">
        <f>IF(L180&lt;ステ計算型!$A$20,0,1)</f>
        <v>0</v>
      </c>
      <c r="AB180" s="3">
        <f t="shared" si="32"/>
        <v>0</v>
      </c>
    </row>
    <row r="181" spans="1:28" ht="8.25" customHeight="1">
      <c r="A181" s="3">
        <f t="shared" si="28"/>
        <v>0</v>
      </c>
      <c r="B181" s="2">
        <f>ステ計算型!$B$2</f>
        <v>101</v>
      </c>
      <c r="C181" s="7">
        <f>VLOOKUP(B181,ポイント!$A$1:$D$43,4,FALSE)</f>
        <v>571</v>
      </c>
      <c r="D181" s="2">
        <f>ステ計算型!$B$4</f>
        <v>5</v>
      </c>
      <c r="E181" s="2">
        <f>ステ計算型!$B$6</f>
        <v>127</v>
      </c>
      <c r="F181" s="2">
        <f>ステ計算型!$B$8</f>
        <v>10</v>
      </c>
      <c r="G181" s="2">
        <f>ステ計算型!$B$9</f>
        <v>82</v>
      </c>
      <c r="H181" s="7">
        <f t="shared" si="34"/>
        <v>347</v>
      </c>
      <c r="I181" s="5">
        <f>ステ計算型!$K$3</f>
        <v>7390</v>
      </c>
      <c r="J181" s="5">
        <f>ステ計算型!$N$3</f>
        <v>66</v>
      </c>
      <c r="K181" s="5">
        <v>182</v>
      </c>
      <c r="L181" s="7">
        <f t="shared" si="35"/>
        <v>165</v>
      </c>
      <c r="M181" s="7">
        <f t="shared" si="29"/>
        <v>19748</v>
      </c>
      <c r="N181" s="2">
        <v>1</v>
      </c>
      <c r="O181" s="7">
        <f t="shared" si="27"/>
        <v>0.38</v>
      </c>
      <c r="P181" s="7">
        <f t="shared" si="36"/>
        <v>0.38</v>
      </c>
      <c r="Q181" s="2">
        <f>ステ計算型!$I$29</f>
        <v>1</v>
      </c>
      <c r="R181" s="2">
        <f>ステ計算型!$E$33</f>
        <v>0.2</v>
      </c>
      <c r="S181" s="7">
        <f t="shared" si="37"/>
        <v>4.5840000000000005</v>
      </c>
      <c r="T181" s="2">
        <f>ステ計算型!$I$27</f>
        <v>1.1000000000000001</v>
      </c>
      <c r="U181" s="2">
        <f>ステ計算型!$J$29</f>
        <v>2</v>
      </c>
      <c r="V181" s="2">
        <f>ステ計算型!$F$32</f>
        <v>0.75</v>
      </c>
      <c r="W181" s="2">
        <f>ステ計算型!$G$34</f>
        <v>1</v>
      </c>
      <c r="X181" s="7">
        <f t="shared" si="33"/>
        <v>76961.273664000022</v>
      </c>
      <c r="Y181" s="7">
        <f t="shared" si="30"/>
        <v>400</v>
      </c>
      <c r="Z181" s="7">
        <f t="shared" si="31"/>
        <v>1</v>
      </c>
      <c r="AA181" s="38">
        <f>IF(L181&lt;ステ計算型!$A$20,0,1)</f>
        <v>0</v>
      </c>
      <c r="AB181" s="3">
        <f t="shared" si="32"/>
        <v>0</v>
      </c>
    </row>
    <row r="182" spans="1:28" ht="8.25" customHeight="1">
      <c r="A182" s="3">
        <f t="shared" si="28"/>
        <v>0</v>
      </c>
      <c r="B182" s="2">
        <f>ステ計算型!$B$2</f>
        <v>101</v>
      </c>
      <c r="C182" s="7">
        <f>VLOOKUP(B182,ポイント!$A$1:$D$43,4,FALSE)</f>
        <v>571</v>
      </c>
      <c r="D182" s="2">
        <f>ステ計算型!$B$4</f>
        <v>5</v>
      </c>
      <c r="E182" s="2">
        <f>ステ計算型!$B$6</f>
        <v>127</v>
      </c>
      <c r="F182" s="2">
        <f>ステ計算型!$B$8</f>
        <v>10</v>
      </c>
      <c r="G182" s="2">
        <f>ステ計算型!$B$9</f>
        <v>82</v>
      </c>
      <c r="H182" s="7">
        <f t="shared" si="34"/>
        <v>347</v>
      </c>
      <c r="I182" s="5">
        <f>ステ計算型!$K$3</f>
        <v>7390</v>
      </c>
      <c r="J182" s="5">
        <f>ステ計算型!$N$3</f>
        <v>66</v>
      </c>
      <c r="K182" s="5">
        <v>183</v>
      </c>
      <c r="L182" s="7">
        <f t="shared" si="35"/>
        <v>164</v>
      </c>
      <c r="M182" s="7">
        <f t="shared" si="29"/>
        <v>19673</v>
      </c>
      <c r="N182" s="2">
        <v>1</v>
      </c>
      <c r="O182" s="7">
        <f t="shared" si="27"/>
        <v>0.38</v>
      </c>
      <c r="P182" s="7">
        <f t="shared" si="36"/>
        <v>0.38</v>
      </c>
      <c r="Q182" s="2">
        <f>ステ計算型!$I$29</f>
        <v>1</v>
      </c>
      <c r="R182" s="2">
        <f>ステ計算型!$E$33</f>
        <v>0.2</v>
      </c>
      <c r="S182" s="7">
        <f t="shared" si="37"/>
        <v>4.5960000000000001</v>
      </c>
      <c r="T182" s="2">
        <f>ステ計算型!$I$27</f>
        <v>1.1000000000000001</v>
      </c>
      <c r="U182" s="2">
        <f>ステ計算型!$J$29</f>
        <v>2</v>
      </c>
      <c r="V182" s="2">
        <f>ステ計算型!$F$32</f>
        <v>0.75</v>
      </c>
      <c r="W182" s="2">
        <f>ステ計算型!$G$34</f>
        <v>1</v>
      </c>
      <c r="X182" s="7">
        <f t="shared" si="33"/>
        <v>76817.005716000014</v>
      </c>
      <c r="Y182" s="7">
        <f t="shared" si="30"/>
        <v>400</v>
      </c>
      <c r="Z182" s="7">
        <f t="shared" si="31"/>
        <v>1</v>
      </c>
      <c r="AA182" s="38">
        <f>IF(L182&lt;ステ計算型!$A$20,0,1)</f>
        <v>0</v>
      </c>
      <c r="AB182" s="3">
        <f t="shared" si="32"/>
        <v>0</v>
      </c>
    </row>
    <row r="183" spans="1:28" ht="8.25" customHeight="1">
      <c r="A183" s="3">
        <f t="shared" si="28"/>
        <v>0</v>
      </c>
      <c r="B183" s="2">
        <f>ステ計算型!$B$2</f>
        <v>101</v>
      </c>
      <c r="C183" s="7">
        <f>VLOOKUP(B183,ポイント!$A$1:$D$43,4,FALSE)</f>
        <v>571</v>
      </c>
      <c r="D183" s="2">
        <f>ステ計算型!$B$4</f>
        <v>5</v>
      </c>
      <c r="E183" s="2">
        <f>ステ計算型!$B$6</f>
        <v>127</v>
      </c>
      <c r="F183" s="2">
        <f>ステ計算型!$B$8</f>
        <v>10</v>
      </c>
      <c r="G183" s="2">
        <f>ステ計算型!$B$9</f>
        <v>82</v>
      </c>
      <c r="H183" s="7">
        <f t="shared" si="34"/>
        <v>347</v>
      </c>
      <c r="I183" s="5">
        <f>ステ計算型!$K$3</f>
        <v>7390</v>
      </c>
      <c r="J183" s="5">
        <f>ステ計算型!$N$3</f>
        <v>66</v>
      </c>
      <c r="K183" s="5">
        <v>184</v>
      </c>
      <c r="L183" s="7">
        <f t="shared" si="35"/>
        <v>163</v>
      </c>
      <c r="M183" s="7">
        <f t="shared" si="29"/>
        <v>19598</v>
      </c>
      <c r="N183" s="2">
        <v>1</v>
      </c>
      <c r="O183" s="7">
        <f t="shared" si="27"/>
        <v>0.38</v>
      </c>
      <c r="P183" s="7">
        <f t="shared" si="36"/>
        <v>0.38</v>
      </c>
      <c r="Q183" s="2">
        <f>ステ計算型!$I$29</f>
        <v>1</v>
      </c>
      <c r="R183" s="2">
        <f>ステ計算型!$E$33</f>
        <v>0.2</v>
      </c>
      <c r="S183" s="7">
        <f t="shared" si="37"/>
        <v>4.6079999999999997</v>
      </c>
      <c r="T183" s="2">
        <f>ステ計算型!$I$27</f>
        <v>1.1000000000000001</v>
      </c>
      <c r="U183" s="2">
        <f>ステ計算型!$J$29</f>
        <v>2</v>
      </c>
      <c r="V183" s="2">
        <f>ステ計算型!$F$32</f>
        <v>0.75</v>
      </c>
      <c r="W183" s="2">
        <f>ステ計算型!$G$34</f>
        <v>1</v>
      </c>
      <c r="X183" s="7">
        <f t="shared" si="33"/>
        <v>76671.609167999995</v>
      </c>
      <c r="Y183" s="7">
        <f t="shared" si="30"/>
        <v>400</v>
      </c>
      <c r="Z183" s="7">
        <f t="shared" si="31"/>
        <v>1</v>
      </c>
      <c r="AA183" s="38">
        <f>IF(L183&lt;ステ計算型!$A$20,0,1)</f>
        <v>0</v>
      </c>
      <c r="AB183" s="3">
        <f t="shared" si="32"/>
        <v>0</v>
      </c>
    </row>
    <row r="184" spans="1:28" ht="8.25" customHeight="1">
      <c r="A184" s="3">
        <f t="shared" si="28"/>
        <v>0</v>
      </c>
      <c r="B184" s="2">
        <f>ステ計算型!$B$2</f>
        <v>101</v>
      </c>
      <c r="C184" s="7">
        <f>VLOOKUP(B184,ポイント!$A$1:$D$43,4,FALSE)</f>
        <v>571</v>
      </c>
      <c r="D184" s="2">
        <f>ステ計算型!$B$4</f>
        <v>5</v>
      </c>
      <c r="E184" s="2">
        <f>ステ計算型!$B$6</f>
        <v>127</v>
      </c>
      <c r="F184" s="2">
        <f>ステ計算型!$B$8</f>
        <v>10</v>
      </c>
      <c r="G184" s="2">
        <f>ステ計算型!$B$9</f>
        <v>82</v>
      </c>
      <c r="H184" s="7">
        <f t="shared" si="34"/>
        <v>347</v>
      </c>
      <c r="I184" s="5">
        <f>ステ計算型!$K$3</f>
        <v>7390</v>
      </c>
      <c r="J184" s="5">
        <f>ステ計算型!$N$3</f>
        <v>66</v>
      </c>
      <c r="K184" s="5">
        <v>185</v>
      </c>
      <c r="L184" s="7">
        <f t="shared" si="35"/>
        <v>162</v>
      </c>
      <c r="M184" s="7">
        <f t="shared" si="29"/>
        <v>19523</v>
      </c>
      <c r="N184" s="2">
        <v>1</v>
      </c>
      <c r="O184" s="7">
        <f t="shared" si="27"/>
        <v>0.38</v>
      </c>
      <c r="P184" s="7">
        <f t="shared" si="36"/>
        <v>0.38</v>
      </c>
      <c r="Q184" s="2">
        <f>ステ計算型!$I$29</f>
        <v>1</v>
      </c>
      <c r="R184" s="2">
        <f>ステ計算型!$E$33</f>
        <v>0.2</v>
      </c>
      <c r="S184" s="7">
        <f t="shared" si="37"/>
        <v>4.62</v>
      </c>
      <c r="T184" s="2">
        <f>ステ計算型!$I$27</f>
        <v>1.1000000000000001</v>
      </c>
      <c r="U184" s="2">
        <f>ステ計算型!$J$29</f>
        <v>2</v>
      </c>
      <c r="V184" s="2">
        <f>ステ計算型!$F$32</f>
        <v>0.75</v>
      </c>
      <c r="W184" s="2">
        <f>ステ計算型!$G$34</f>
        <v>1</v>
      </c>
      <c r="X184" s="7">
        <f t="shared" si="33"/>
        <v>76525.084020000009</v>
      </c>
      <c r="Y184" s="7">
        <f t="shared" si="30"/>
        <v>400</v>
      </c>
      <c r="Z184" s="7">
        <f t="shared" si="31"/>
        <v>1</v>
      </c>
      <c r="AA184" s="38">
        <f>IF(L184&lt;ステ計算型!$A$20,0,1)</f>
        <v>0</v>
      </c>
      <c r="AB184" s="3">
        <f t="shared" si="32"/>
        <v>0</v>
      </c>
    </row>
    <row r="185" spans="1:28" ht="8.25" customHeight="1">
      <c r="A185" s="3">
        <f t="shared" si="28"/>
        <v>0</v>
      </c>
      <c r="B185" s="2">
        <f>ステ計算型!$B$2</f>
        <v>101</v>
      </c>
      <c r="C185" s="7">
        <f>VLOOKUP(B185,ポイント!$A$1:$D$43,4,FALSE)</f>
        <v>571</v>
      </c>
      <c r="D185" s="2">
        <f>ステ計算型!$B$4</f>
        <v>5</v>
      </c>
      <c r="E185" s="2">
        <f>ステ計算型!$B$6</f>
        <v>127</v>
      </c>
      <c r="F185" s="2">
        <f>ステ計算型!$B$8</f>
        <v>10</v>
      </c>
      <c r="G185" s="2">
        <f>ステ計算型!$B$9</f>
        <v>82</v>
      </c>
      <c r="H185" s="7">
        <f t="shared" si="34"/>
        <v>347</v>
      </c>
      <c r="I185" s="5">
        <f>ステ計算型!$K$3</f>
        <v>7390</v>
      </c>
      <c r="J185" s="5">
        <f>ステ計算型!$N$3</f>
        <v>66</v>
      </c>
      <c r="K185" s="5">
        <v>186</v>
      </c>
      <c r="L185" s="7">
        <f t="shared" si="35"/>
        <v>161</v>
      </c>
      <c r="M185" s="7">
        <f t="shared" si="29"/>
        <v>19448</v>
      </c>
      <c r="N185" s="2">
        <v>1</v>
      </c>
      <c r="O185" s="7">
        <f t="shared" si="27"/>
        <v>0.38</v>
      </c>
      <c r="P185" s="7">
        <f t="shared" si="36"/>
        <v>0.38</v>
      </c>
      <c r="Q185" s="2">
        <f>ステ計算型!$I$29</f>
        <v>1</v>
      </c>
      <c r="R185" s="2">
        <f>ステ計算型!$E$33</f>
        <v>0.2</v>
      </c>
      <c r="S185" s="7">
        <f t="shared" si="37"/>
        <v>4.6320000000000006</v>
      </c>
      <c r="T185" s="2">
        <f>ステ計算型!$I$27</f>
        <v>1.1000000000000001</v>
      </c>
      <c r="U185" s="2">
        <f>ステ計算型!$J$29</f>
        <v>2</v>
      </c>
      <c r="V185" s="2">
        <f>ステ計算型!$F$32</f>
        <v>0.75</v>
      </c>
      <c r="W185" s="2">
        <f>ステ計算型!$G$34</f>
        <v>1</v>
      </c>
      <c r="X185" s="7">
        <f t="shared" si="33"/>
        <v>76377.430271999998</v>
      </c>
      <c r="Y185" s="7">
        <f t="shared" si="30"/>
        <v>400</v>
      </c>
      <c r="Z185" s="7">
        <f t="shared" si="31"/>
        <v>1</v>
      </c>
      <c r="AA185" s="38">
        <f>IF(L185&lt;ステ計算型!$A$20,0,1)</f>
        <v>0</v>
      </c>
      <c r="AB185" s="3">
        <f t="shared" si="32"/>
        <v>0</v>
      </c>
    </row>
    <row r="186" spans="1:28" ht="8.25" customHeight="1">
      <c r="A186" s="3">
        <f t="shared" si="28"/>
        <v>0</v>
      </c>
      <c r="B186" s="2">
        <f>ステ計算型!$B$2</f>
        <v>101</v>
      </c>
      <c r="C186" s="7">
        <f>VLOOKUP(B186,ポイント!$A$1:$D$43,4,FALSE)</f>
        <v>571</v>
      </c>
      <c r="D186" s="2">
        <f>ステ計算型!$B$4</f>
        <v>5</v>
      </c>
      <c r="E186" s="2">
        <f>ステ計算型!$B$6</f>
        <v>127</v>
      </c>
      <c r="F186" s="2">
        <f>ステ計算型!$B$8</f>
        <v>10</v>
      </c>
      <c r="G186" s="2">
        <f>ステ計算型!$B$9</f>
        <v>82</v>
      </c>
      <c r="H186" s="7">
        <f t="shared" si="34"/>
        <v>347</v>
      </c>
      <c r="I186" s="5">
        <f>ステ計算型!$K$3</f>
        <v>7390</v>
      </c>
      <c r="J186" s="5">
        <f>ステ計算型!$N$3</f>
        <v>66</v>
      </c>
      <c r="K186" s="5">
        <v>187</v>
      </c>
      <c r="L186" s="7">
        <f t="shared" si="35"/>
        <v>160</v>
      </c>
      <c r="M186" s="7">
        <f t="shared" si="29"/>
        <v>19374</v>
      </c>
      <c r="N186" s="2">
        <v>1</v>
      </c>
      <c r="O186" s="7">
        <f t="shared" si="27"/>
        <v>0.38</v>
      </c>
      <c r="P186" s="7">
        <f t="shared" si="36"/>
        <v>0.38</v>
      </c>
      <c r="Q186" s="2">
        <f>ステ計算型!$I$29</f>
        <v>1</v>
      </c>
      <c r="R186" s="2">
        <f>ステ計算型!$E$33</f>
        <v>0.2</v>
      </c>
      <c r="S186" s="7">
        <f t="shared" si="37"/>
        <v>4.6440000000000001</v>
      </c>
      <c r="T186" s="2">
        <f>ステ計算型!$I$27</f>
        <v>1.1000000000000001</v>
      </c>
      <c r="U186" s="2">
        <f>ステ計算型!$J$29</f>
        <v>2</v>
      </c>
      <c r="V186" s="2">
        <f>ステ計算型!$F$32</f>
        <v>0.75</v>
      </c>
      <c r="W186" s="2">
        <f>ステ計算型!$G$34</f>
        <v>1</v>
      </c>
      <c r="X186" s="7">
        <f t="shared" si="33"/>
        <v>76232.582712000018</v>
      </c>
      <c r="Y186" s="7">
        <f t="shared" si="30"/>
        <v>400</v>
      </c>
      <c r="Z186" s="7">
        <f t="shared" si="31"/>
        <v>1</v>
      </c>
      <c r="AA186" s="38">
        <f>IF(L186&lt;ステ計算型!$A$20,0,1)</f>
        <v>0</v>
      </c>
      <c r="AB186" s="3">
        <f t="shared" si="32"/>
        <v>0</v>
      </c>
    </row>
    <row r="187" spans="1:28" ht="8.25" customHeight="1">
      <c r="A187" s="3">
        <f t="shared" si="28"/>
        <v>0</v>
      </c>
      <c r="B187" s="2">
        <f>ステ計算型!$B$2</f>
        <v>101</v>
      </c>
      <c r="C187" s="7">
        <f>VLOOKUP(B187,ポイント!$A$1:$D$43,4,FALSE)</f>
        <v>571</v>
      </c>
      <c r="D187" s="2">
        <f>ステ計算型!$B$4</f>
        <v>5</v>
      </c>
      <c r="E187" s="2">
        <f>ステ計算型!$B$6</f>
        <v>127</v>
      </c>
      <c r="F187" s="2">
        <f>ステ計算型!$B$8</f>
        <v>10</v>
      </c>
      <c r="G187" s="2">
        <f>ステ計算型!$B$9</f>
        <v>82</v>
      </c>
      <c r="H187" s="7">
        <f t="shared" si="34"/>
        <v>347</v>
      </c>
      <c r="I187" s="5">
        <f>ステ計算型!$K$3</f>
        <v>7390</v>
      </c>
      <c r="J187" s="5">
        <f>ステ計算型!$N$3</f>
        <v>66</v>
      </c>
      <c r="K187" s="5">
        <v>188</v>
      </c>
      <c r="L187" s="7">
        <f t="shared" si="35"/>
        <v>159</v>
      </c>
      <c r="M187" s="7">
        <f t="shared" si="29"/>
        <v>19299</v>
      </c>
      <c r="N187" s="2">
        <v>1</v>
      </c>
      <c r="O187" s="7">
        <f t="shared" si="27"/>
        <v>0.39</v>
      </c>
      <c r="P187" s="7">
        <f t="shared" si="36"/>
        <v>0.39</v>
      </c>
      <c r="Q187" s="2">
        <f>ステ計算型!$I$29</f>
        <v>1</v>
      </c>
      <c r="R187" s="2">
        <f>ステ計算型!$E$33</f>
        <v>0.2</v>
      </c>
      <c r="S187" s="7">
        <f t="shared" si="37"/>
        <v>4.6559999999999997</v>
      </c>
      <c r="T187" s="2">
        <f>ステ計算型!$I$27</f>
        <v>1.1000000000000001</v>
      </c>
      <c r="U187" s="2">
        <f>ステ計算型!$J$29</f>
        <v>2</v>
      </c>
      <c r="V187" s="2">
        <f>ステ計算型!$F$32</f>
        <v>0.75</v>
      </c>
      <c r="W187" s="2">
        <f>ステ計算型!$G$34</f>
        <v>1</v>
      </c>
      <c r="X187" s="7">
        <f t="shared" si="33"/>
        <v>77246.872163999986</v>
      </c>
      <c r="Y187" s="7">
        <f t="shared" si="30"/>
        <v>400</v>
      </c>
      <c r="Z187" s="7">
        <f t="shared" si="31"/>
        <v>1</v>
      </c>
      <c r="AA187" s="38">
        <f>IF(L187&lt;ステ計算型!$A$20,0,1)</f>
        <v>0</v>
      </c>
      <c r="AB187" s="3">
        <f t="shared" si="32"/>
        <v>0</v>
      </c>
    </row>
    <row r="188" spans="1:28" ht="8.25" customHeight="1">
      <c r="A188" s="3">
        <f t="shared" si="28"/>
        <v>0</v>
      </c>
      <c r="B188" s="2">
        <f>ステ計算型!$B$2</f>
        <v>101</v>
      </c>
      <c r="C188" s="7">
        <f>VLOOKUP(B188,ポイント!$A$1:$D$43,4,FALSE)</f>
        <v>571</v>
      </c>
      <c r="D188" s="2">
        <f>ステ計算型!$B$4</f>
        <v>5</v>
      </c>
      <c r="E188" s="2">
        <f>ステ計算型!$B$6</f>
        <v>127</v>
      </c>
      <c r="F188" s="2">
        <f>ステ計算型!$B$8</f>
        <v>10</v>
      </c>
      <c r="G188" s="2">
        <f>ステ計算型!$B$9</f>
        <v>82</v>
      </c>
      <c r="H188" s="7">
        <f t="shared" si="34"/>
        <v>347</v>
      </c>
      <c r="I188" s="5">
        <f>ステ計算型!$K$3</f>
        <v>7390</v>
      </c>
      <c r="J188" s="5">
        <f>ステ計算型!$N$3</f>
        <v>66</v>
      </c>
      <c r="K188" s="5">
        <v>189</v>
      </c>
      <c r="L188" s="7">
        <f t="shared" si="35"/>
        <v>158</v>
      </c>
      <c r="M188" s="7">
        <f t="shared" si="29"/>
        <v>19224</v>
      </c>
      <c r="N188" s="2">
        <v>1</v>
      </c>
      <c r="O188" s="7">
        <f t="shared" si="27"/>
        <v>0.39</v>
      </c>
      <c r="P188" s="7">
        <f t="shared" si="36"/>
        <v>0.39</v>
      </c>
      <c r="Q188" s="2">
        <f>ステ計算型!$I$29</f>
        <v>1</v>
      </c>
      <c r="R188" s="2">
        <f>ステ計算型!$E$33</f>
        <v>0.2</v>
      </c>
      <c r="S188" s="7">
        <f t="shared" si="37"/>
        <v>4.6679999999999993</v>
      </c>
      <c r="T188" s="2">
        <f>ステ計算型!$I$27</f>
        <v>1.1000000000000001</v>
      </c>
      <c r="U188" s="2">
        <f>ステ計算型!$J$29</f>
        <v>2</v>
      </c>
      <c r="V188" s="2">
        <f>ステ計算型!$F$32</f>
        <v>0.75</v>
      </c>
      <c r="W188" s="2">
        <f>ステ計算型!$G$34</f>
        <v>1</v>
      </c>
      <c r="X188" s="7">
        <f t="shared" si="33"/>
        <v>77095.122191999995</v>
      </c>
      <c r="Y188" s="7">
        <f t="shared" si="30"/>
        <v>400</v>
      </c>
      <c r="Z188" s="7">
        <f t="shared" si="31"/>
        <v>1</v>
      </c>
      <c r="AA188" s="38">
        <f>IF(L188&lt;ステ計算型!$A$20,0,1)</f>
        <v>0</v>
      </c>
      <c r="AB188" s="3">
        <f t="shared" si="32"/>
        <v>0</v>
      </c>
    </row>
    <row r="189" spans="1:28" ht="8.25" customHeight="1">
      <c r="A189" s="3">
        <f t="shared" si="28"/>
        <v>0</v>
      </c>
      <c r="B189" s="2">
        <f>ステ計算型!$B$2</f>
        <v>101</v>
      </c>
      <c r="C189" s="7">
        <f>VLOOKUP(B189,ポイント!$A$1:$D$43,4,FALSE)</f>
        <v>571</v>
      </c>
      <c r="D189" s="2">
        <f>ステ計算型!$B$4</f>
        <v>5</v>
      </c>
      <c r="E189" s="2">
        <f>ステ計算型!$B$6</f>
        <v>127</v>
      </c>
      <c r="F189" s="2">
        <f>ステ計算型!$B$8</f>
        <v>10</v>
      </c>
      <c r="G189" s="2">
        <f>ステ計算型!$B$9</f>
        <v>82</v>
      </c>
      <c r="H189" s="7">
        <f t="shared" si="34"/>
        <v>347</v>
      </c>
      <c r="I189" s="5">
        <f>ステ計算型!$K$3</f>
        <v>7390</v>
      </c>
      <c r="J189" s="5">
        <f>ステ計算型!$N$3</f>
        <v>66</v>
      </c>
      <c r="K189" s="5">
        <v>190</v>
      </c>
      <c r="L189" s="7">
        <f t="shared" si="35"/>
        <v>157</v>
      </c>
      <c r="M189" s="7">
        <f t="shared" si="29"/>
        <v>19149</v>
      </c>
      <c r="N189" s="2">
        <v>1</v>
      </c>
      <c r="O189" s="7">
        <f t="shared" si="27"/>
        <v>0.39</v>
      </c>
      <c r="P189" s="7">
        <f t="shared" si="36"/>
        <v>0.39</v>
      </c>
      <c r="Q189" s="2">
        <f>ステ計算型!$I$29</f>
        <v>1</v>
      </c>
      <c r="R189" s="2">
        <f>ステ計算型!$E$33</f>
        <v>0.2</v>
      </c>
      <c r="S189" s="7">
        <f t="shared" si="37"/>
        <v>4.68</v>
      </c>
      <c r="T189" s="2">
        <f>ステ計算型!$I$27</f>
        <v>1.1000000000000001</v>
      </c>
      <c r="U189" s="2">
        <f>ステ計算型!$J$29</f>
        <v>2</v>
      </c>
      <c r="V189" s="2">
        <f>ステ計算型!$F$32</f>
        <v>0.75</v>
      </c>
      <c r="W189" s="2">
        <f>ステ計算型!$G$34</f>
        <v>1</v>
      </c>
      <c r="X189" s="7">
        <f t="shared" si="33"/>
        <v>76942.213920000009</v>
      </c>
      <c r="Y189" s="7">
        <f t="shared" si="30"/>
        <v>400</v>
      </c>
      <c r="Z189" s="7">
        <f t="shared" si="31"/>
        <v>1</v>
      </c>
      <c r="AA189" s="38">
        <f>IF(L189&lt;ステ計算型!$A$20,0,1)</f>
        <v>0</v>
      </c>
      <c r="AB189" s="3">
        <f t="shared" si="32"/>
        <v>0</v>
      </c>
    </row>
    <row r="190" spans="1:28" ht="8.25" customHeight="1">
      <c r="A190" s="3">
        <f t="shared" si="28"/>
        <v>0</v>
      </c>
      <c r="B190" s="2">
        <f>ステ計算型!$B$2</f>
        <v>101</v>
      </c>
      <c r="C190" s="7">
        <f>VLOOKUP(B190,ポイント!$A$1:$D$43,4,FALSE)</f>
        <v>571</v>
      </c>
      <c r="D190" s="2">
        <f>ステ計算型!$B$4</f>
        <v>5</v>
      </c>
      <c r="E190" s="2">
        <f>ステ計算型!$B$6</f>
        <v>127</v>
      </c>
      <c r="F190" s="2">
        <f>ステ計算型!$B$8</f>
        <v>10</v>
      </c>
      <c r="G190" s="2">
        <f>ステ計算型!$B$9</f>
        <v>82</v>
      </c>
      <c r="H190" s="7">
        <f t="shared" si="34"/>
        <v>347</v>
      </c>
      <c r="I190" s="5">
        <f>ステ計算型!$K$3</f>
        <v>7390</v>
      </c>
      <c r="J190" s="5">
        <f>ステ計算型!$N$3</f>
        <v>66</v>
      </c>
      <c r="K190" s="5">
        <v>191</v>
      </c>
      <c r="L190" s="7">
        <f t="shared" si="35"/>
        <v>156</v>
      </c>
      <c r="M190" s="7">
        <f t="shared" si="29"/>
        <v>19074</v>
      </c>
      <c r="N190" s="2">
        <v>1</v>
      </c>
      <c r="O190" s="7">
        <f t="shared" si="27"/>
        <v>0.39</v>
      </c>
      <c r="P190" s="7">
        <f t="shared" si="36"/>
        <v>0.39</v>
      </c>
      <c r="Q190" s="2">
        <f>ステ計算型!$I$29</f>
        <v>1</v>
      </c>
      <c r="R190" s="2">
        <f>ステ計算型!$E$33</f>
        <v>0.2</v>
      </c>
      <c r="S190" s="7">
        <f t="shared" si="37"/>
        <v>4.6920000000000002</v>
      </c>
      <c r="T190" s="2">
        <f>ステ計算型!$I$27</f>
        <v>1.1000000000000001</v>
      </c>
      <c r="U190" s="2">
        <f>ステ計算型!$J$29</f>
        <v>2</v>
      </c>
      <c r="V190" s="2">
        <f>ステ計算型!$F$32</f>
        <v>0.75</v>
      </c>
      <c r="W190" s="2">
        <f>ステ計算型!$G$34</f>
        <v>1</v>
      </c>
      <c r="X190" s="7">
        <f t="shared" si="33"/>
        <v>76788.147347999999</v>
      </c>
      <c r="Y190" s="7">
        <f t="shared" si="30"/>
        <v>400</v>
      </c>
      <c r="Z190" s="7">
        <f t="shared" si="31"/>
        <v>1</v>
      </c>
      <c r="AA190" s="38">
        <f>IF(L190&lt;ステ計算型!$A$20,0,1)</f>
        <v>0</v>
      </c>
      <c r="AB190" s="3">
        <f t="shared" si="32"/>
        <v>0</v>
      </c>
    </row>
    <row r="191" spans="1:28" ht="8.25" customHeight="1">
      <c r="A191" s="3">
        <f t="shared" si="28"/>
        <v>0</v>
      </c>
      <c r="B191" s="2">
        <f>ステ計算型!$B$2</f>
        <v>101</v>
      </c>
      <c r="C191" s="7">
        <f>VLOOKUP(B191,ポイント!$A$1:$D$43,4,FALSE)</f>
        <v>571</v>
      </c>
      <c r="D191" s="2">
        <f>ステ計算型!$B$4</f>
        <v>5</v>
      </c>
      <c r="E191" s="2">
        <f>ステ計算型!$B$6</f>
        <v>127</v>
      </c>
      <c r="F191" s="2">
        <f>ステ計算型!$B$8</f>
        <v>10</v>
      </c>
      <c r="G191" s="2">
        <f>ステ計算型!$B$9</f>
        <v>82</v>
      </c>
      <c r="H191" s="7">
        <f t="shared" si="34"/>
        <v>347</v>
      </c>
      <c r="I191" s="5">
        <f>ステ計算型!$K$3</f>
        <v>7390</v>
      </c>
      <c r="J191" s="5">
        <f>ステ計算型!$N$3</f>
        <v>66</v>
      </c>
      <c r="K191" s="5">
        <v>192</v>
      </c>
      <c r="L191" s="7">
        <f t="shared" si="35"/>
        <v>155</v>
      </c>
      <c r="M191" s="7">
        <f t="shared" si="29"/>
        <v>18999</v>
      </c>
      <c r="N191" s="2">
        <v>1</v>
      </c>
      <c r="O191" s="7">
        <f t="shared" si="27"/>
        <v>0.39</v>
      </c>
      <c r="P191" s="7">
        <f t="shared" si="36"/>
        <v>0.39</v>
      </c>
      <c r="Q191" s="2">
        <f>ステ計算型!$I$29</f>
        <v>1</v>
      </c>
      <c r="R191" s="2">
        <f>ステ計算型!$E$33</f>
        <v>0.2</v>
      </c>
      <c r="S191" s="7">
        <f t="shared" si="37"/>
        <v>4.7039999999999997</v>
      </c>
      <c r="T191" s="2">
        <f>ステ計算型!$I$27</f>
        <v>1.1000000000000001</v>
      </c>
      <c r="U191" s="2">
        <f>ステ計算型!$J$29</f>
        <v>2</v>
      </c>
      <c r="V191" s="2">
        <f>ステ計算型!$F$32</f>
        <v>0.75</v>
      </c>
      <c r="W191" s="2">
        <f>ステ計算型!$G$34</f>
        <v>1</v>
      </c>
      <c r="X191" s="7">
        <f t="shared" si="33"/>
        <v>76632.922476000007</v>
      </c>
      <c r="Y191" s="7">
        <f t="shared" si="30"/>
        <v>400</v>
      </c>
      <c r="Z191" s="7">
        <f t="shared" si="31"/>
        <v>1</v>
      </c>
      <c r="AA191" s="38">
        <f>IF(L191&lt;ステ計算型!$A$20,0,1)</f>
        <v>0</v>
      </c>
      <c r="AB191" s="3">
        <f t="shared" si="32"/>
        <v>0</v>
      </c>
    </row>
    <row r="192" spans="1:28" ht="8.25" customHeight="1">
      <c r="A192" s="3">
        <f t="shared" si="28"/>
        <v>0</v>
      </c>
      <c r="B192" s="2">
        <f>ステ計算型!$B$2</f>
        <v>101</v>
      </c>
      <c r="C192" s="7">
        <f>VLOOKUP(B192,ポイント!$A$1:$D$43,4,FALSE)</f>
        <v>571</v>
      </c>
      <c r="D192" s="2">
        <f>ステ計算型!$B$4</f>
        <v>5</v>
      </c>
      <c r="E192" s="2">
        <f>ステ計算型!$B$6</f>
        <v>127</v>
      </c>
      <c r="F192" s="2">
        <f>ステ計算型!$B$8</f>
        <v>10</v>
      </c>
      <c r="G192" s="2">
        <f>ステ計算型!$B$9</f>
        <v>82</v>
      </c>
      <c r="H192" s="7">
        <f t="shared" si="34"/>
        <v>347</v>
      </c>
      <c r="I192" s="5">
        <f>ステ計算型!$K$3</f>
        <v>7390</v>
      </c>
      <c r="J192" s="5">
        <f>ステ計算型!$N$3</f>
        <v>66</v>
      </c>
      <c r="K192" s="5">
        <v>193</v>
      </c>
      <c r="L192" s="7">
        <f t="shared" si="35"/>
        <v>154</v>
      </c>
      <c r="M192" s="7">
        <f t="shared" si="29"/>
        <v>18924</v>
      </c>
      <c r="N192" s="2">
        <v>1</v>
      </c>
      <c r="O192" s="7">
        <f t="shared" si="27"/>
        <v>0.39</v>
      </c>
      <c r="P192" s="7">
        <f t="shared" si="36"/>
        <v>0.39</v>
      </c>
      <c r="Q192" s="2">
        <f>ステ計算型!$I$29</f>
        <v>1</v>
      </c>
      <c r="R192" s="2">
        <f>ステ計算型!$E$33</f>
        <v>0.2</v>
      </c>
      <c r="S192" s="7">
        <f t="shared" si="37"/>
        <v>4.7159999999999993</v>
      </c>
      <c r="T192" s="2">
        <f>ステ計算型!$I$27</f>
        <v>1.1000000000000001</v>
      </c>
      <c r="U192" s="2">
        <f>ステ計算型!$J$29</f>
        <v>2</v>
      </c>
      <c r="V192" s="2">
        <f>ステ計算型!$F$32</f>
        <v>0.75</v>
      </c>
      <c r="W192" s="2">
        <f>ステ計算型!$G$34</f>
        <v>1</v>
      </c>
      <c r="X192" s="7">
        <f t="shared" si="33"/>
        <v>76476.539304000005</v>
      </c>
      <c r="Y192" s="7">
        <f t="shared" si="30"/>
        <v>400</v>
      </c>
      <c r="Z192" s="7">
        <f t="shared" si="31"/>
        <v>1</v>
      </c>
      <c r="AA192" s="38">
        <f>IF(L192&lt;ステ計算型!$A$20,0,1)</f>
        <v>0</v>
      </c>
      <c r="AB192" s="3">
        <f t="shared" si="32"/>
        <v>0</v>
      </c>
    </row>
    <row r="193" spans="1:28" ht="8.25" customHeight="1">
      <c r="A193" s="3">
        <f t="shared" si="28"/>
        <v>0</v>
      </c>
      <c r="B193" s="2">
        <f>ステ計算型!$B$2</f>
        <v>101</v>
      </c>
      <c r="C193" s="7">
        <f>VLOOKUP(B193,ポイント!$A$1:$D$43,4,FALSE)</f>
        <v>571</v>
      </c>
      <c r="D193" s="2">
        <f>ステ計算型!$B$4</f>
        <v>5</v>
      </c>
      <c r="E193" s="2">
        <f>ステ計算型!$B$6</f>
        <v>127</v>
      </c>
      <c r="F193" s="2">
        <f>ステ計算型!$B$8</f>
        <v>10</v>
      </c>
      <c r="G193" s="2">
        <f>ステ計算型!$B$9</f>
        <v>82</v>
      </c>
      <c r="H193" s="7">
        <f t="shared" si="34"/>
        <v>347</v>
      </c>
      <c r="I193" s="5">
        <f>ステ計算型!$K$3</f>
        <v>7390</v>
      </c>
      <c r="J193" s="5">
        <f>ステ計算型!$N$3</f>
        <v>66</v>
      </c>
      <c r="K193" s="5">
        <v>194</v>
      </c>
      <c r="L193" s="7">
        <f t="shared" si="35"/>
        <v>153</v>
      </c>
      <c r="M193" s="7">
        <f t="shared" si="29"/>
        <v>18849</v>
      </c>
      <c r="N193" s="2">
        <v>1</v>
      </c>
      <c r="O193" s="7">
        <f t="shared" si="27"/>
        <v>0.39</v>
      </c>
      <c r="P193" s="7">
        <f t="shared" si="36"/>
        <v>0.39</v>
      </c>
      <c r="Q193" s="2">
        <f>ステ計算型!$I$29</f>
        <v>1</v>
      </c>
      <c r="R193" s="2">
        <f>ステ計算型!$E$33</f>
        <v>0.2</v>
      </c>
      <c r="S193" s="7">
        <f t="shared" si="37"/>
        <v>4.7279999999999998</v>
      </c>
      <c r="T193" s="2">
        <f>ステ計算型!$I$27</f>
        <v>1.1000000000000001</v>
      </c>
      <c r="U193" s="2">
        <f>ステ計算型!$J$29</f>
        <v>2</v>
      </c>
      <c r="V193" s="2">
        <f>ステ計算型!$F$32</f>
        <v>0.75</v>
      </c>
      <c r="W193" s="2">
        <f>ステ計算型!$G$34</f>
        <v>1</v>
      </c>
      <c r="X193" s="7">
        <f t="shared" si="33"/>
        <v>76318.997831999994</v>
      </c>
      <c r="Y193" s="7">
        <f t="shared" si="30"/>
        <v>400</v>
      </c>
      <c r="Z193" s="7">
        <f t="shared" si="31"/>
        <v>1</v>
      </c>
      <c r="AA193" s="38">
        <f>IF(L193&lt;ステ計算型!$A$20,0,1)</f>
        <v>0</v>
      </c>
      <c r="AB193" s="3">
        <f t="shared" si="32"/>
        <v>0</v>
      </c>
    </row>
    <row r="194" spans="1:28" ht="8.25" customHeight="1">
      <c r="A194" s="3">
        <f t="shared" si="28"/>
        <v>0</v>
      </c>
      <c r="B194" s="2">
        <f>ステ計算型!$B$2</f>
        <v>101</v>
      </c>
      <c r="C194" s="7">
        <f>VLOOKUP(B194,ポイント!$A$1:$D$43,4,FALSE)</f>
        <v>571</v>
      </c>
      <c r="D194" s="2">
        <f>ステ計算型!$B$4</f>
        <v>5</v>
      </c>
      <c r="E194" s="2">
        <f>ステ計算型!$B$6</f>
        <v>127</v>
      </c>
      <c r="F194" s="2">
        <f>ステ計算型!$B$8</f>
        <v>10</v>
      </c>
      <c r="G194" s="2">
        <f>ステ計算型!$B$9</f>
        <v>82</v>
      </c>
      <c r="H194" s="7">
        <f t="shared" si="34"/>
        <v>347</v>
      </c>
      <c r="I194" s="5">
        <f>ステ計算型!$K$3</f>
        <v>7390</v>
      </c>
      <c r="J194" s="5">
        <f>ステ計算型!$N$3</f>
        <v>66</v>
      </c>
      <c r="K194" s="5">
        <v>195</v>
      </c>
      <c r="L194" s="7">
        <f t="shared" si="35"/>
        <v>152</v>
      </c>
      <c r="M194" s="7">
        <f t="shared" si="29"/>
        <v>18774</v>
      </c>
      <c r="N194" s="2">
        <v>1</v>
      </c>
      <c r="O194" s="7">
        <f t="shared" si="27"/>
        <v>0.39</v>
      </c>
      <c r="P194" s="7">
        <f t="shared" si="36"/>
        <v>0.39</v>
      </c>
      <c r="Q194" s="2">
        <f>ステ計算型!$I$29</f>
        <v>1</v>
      </c>
      <c r="R194" s="2">
        <f>ステ計算型!$E$33</f>
        <v>0.2</v>
      </c>
      <c r="S194" s="7">
        <f t="shared" si="37"/>
        <v>4.74</v>
      </c>
      <c r="T194" s="2">
        <f>ステ計算型!$I$27</f>
        <v>1.1000000000000001</v>
      </c>
      <c r="U194" s="2">
        <f>ステ計算型!$J$29</f>
        <v>2</v>
      </c>
      <c r="V194" s="2">
        <f>ステ計算型!$F$32</f>
        <v>0.75</v>
      </c>
      <c r="W194" s="2">
        <f>ステ計算型!$G$34</f>
        <v>1</v>
      </c>
      <c r="X194" s="7">
        <f t="shared" si="33"/>
        <v>76160.298060000016</v>
      </c>
      <c r="Y194" s="7">
        <f t="shared" si="30"/>
        <v>400</v>
      </c>
      <c r="Z194" s="7">
        <f t="shared" si="31"/>
        <v>1</v>
      </c>
      <c r="AA194" s="38">
        <f>IF(L194&lt;ステ計算型!$A$20,0,1)</f>
        <v>0</v>
      </c>
      <c r="AB194" s="3">
        <f t="shared" si="32"/>
        <v>0</v>
      </c>
    </row>
    <row r="195" spans="1:28" ht="8.25" customHeight="1">
      <c r="A195" s="3">
        <f t="shared" si="28"/>
        <v>0</v>
      </c>
      <c r="B195" s="2">
        <f>ステ計算型!$B$2</f>
        <v>101</v>
      </c>
      <c r="C195" s="7">
        <f>VLOOKUP(B195,ポイント!$A$1:$D$43,4,FALSE)</f>
        <v>571</v>
      </c>
      <c r="D195" s="2">
        <f>ステ計算型!$B$4</f>
        <v>5</v>
      </c>
      <c r="E195" s="2">
        <f>ステ計算型!$B$6</f>
        <v>127</v>
      </c>
      <c r="F195" s="2">
        <f>ステ計算型!$B$8</f>
        <v>10</v>
      </c>
      <c r="G195" s="2">
        <f>ステ計算型!$B$9</f>
        <v>82</v>
      </c>
      <c r="H195" s="7">
        <f t="shared" si="34"/>
        <v>347</v>
      </c>
      <c r="I195" s="5">
        <f>ステ計算型!$K$3</f>
        <v>7390</v>
      </c>
      <c r="J195" s="5">
        <f>ステ計算型!$N$3</f>
        <v>66</v>
      </c>
      <c r="K195" s="5">
        <v>196</v>
      </c>
      <c r="L195" s="7">
        <f t="shared" si="35"/>
        <v>151</v>
      </c>
      <c r="M195" s="7">
        <f t="shared" si="29"/>
        <v>18699</v>
      </c>
      <c r="N195" s="2">
        <v>1</v>
      </c>
      <c r="O195" s="7">
        <f t="shared" ref="O195:O258" si="38">ROUNDDOWN(((J195*(K195/100+1))/5)+1,0)/100*N195</f>
        <v>0.4</v>
      </c>
      <c r="P195" s="7">
        <f t="shared" si="36"/>
        <v>0.4</v>
      </c>
      <c r="Q195" s="2">
        <f>ステ計算型!$I$29</f>
        <v>1</v>
      </c>
      <c r="R195" s="2">
        <f>ステ計算型!$E$33</f>
        <v>0.2</v>
      </c>
      <c r="S195" s="7">
        <f t="shared" si="37"/>
        <v>4.7519999999999998</v>
      </c>
      <c r="T195" s="2">
        <f>ステ計算型!$I$27</f>
        <v>1.1000000000000001</v>
      </c>
      <c r="U195" s="2">
        <f>ステ計算型!$J$29</f>
        <v>2</v>
      </c>
      <c r="V195" s="2">
        <f>ステ計算型!$F$32</f>
        <v>0.75</v>
      </c>
      <c r="W195" s="2">
        <f>ステ計算型!$G$34</f>
        <v>1</v>
      </c>
      <c r="X195" s="7">
        <f t="shared" si="33"/>
        <v>77158.057680000013</v>
      </c>
      <c r="Y195" s="7">
        <f t="shared" si="30"/>
        <v>400</v>
      </c>
      <c r="Z195" s="7">
        <f t="shared" si="31"/>
        <v>1</v>
      </c>
      <c r="AA195" s="38">
        <f>IF(L195&lt;ステ計算型!$A$20,0,1)</f>
        <v>0</v>
      </c>
      <c r="AB195" s="3">
        <f t="shared" si="32"/>
        <v>0</v>
      </c>
    </row>
    <row r="196" spans="1:28" ht="8.25" customHeight="1">
      <c r="A196" s="3">
        <f t="shared" si="28"/>
        <v>0</v>
      </c>
      <c r="B196" s="2">
        <f>ステ計算型!$B$2</f>
        <v>101</v>
      </c>
      <c r="C196" s="7">
        <f>VLOOKUP(B196,ポイント!$A$1:$D$43,4,FALSE)</f>
        <v>571</v>
      </c>
      <c r="D196" s="2">
        <f>ステ計算型!$B$4</f>
        <v>5</v>
      </c>
      <c r="E196" s="2">
        <f>ステ計算型!$B$6</f>
        <v>127</v>
      </c>
      <c r="F196" s="2">
        <f>ステ計算型!$B$8</f>
        <v>10</v>
      </c>
      <c r="G196" s="2">
        <f>ステ計算型!$B$9</f>
        <v>82</v>
      </c>
      <c r="H196" s="7">
        <f t="shared" si="34"/>
        <v>347</v>
      </c>
      <c r="I196" s="5">
        <f>ステ計算型!$K$3</f>
        <v>7390</v>
      </c>
      <c r="J196" s="5">
        <f>ステ計算型!$N$3</f>
        <v>66</v>
      </c>
      <c r="K196" s="5">
        <v>197</v>
      </c>
      <c r="L196" s="7">
        <f t="shared" si="35"/>
        <v>150</v>
      </c>
      <c r="M196" s="7">
        <f t="shared" si="29"/>
        <v>18625</v>
      </c>
      <c r="N196" s="2">
        <v>1</v>
      </c>
      <c r="O196" s="7">
        <f t="shared" si="38"/>
        <v>0.4</v>
      </c>
      <c r="P196" s="7">
        <f t="shared" si="36"/>
        <v>0.4</v>
      </c>
      <c r="Q196" s="2">
        <f>ステ計算型!$I$29</f>
        <v>1</v>
      </c>
      <c r="R196" s="2">
        <f>ステ計算型!$E$33</f>
        <v>0.2</v>
      </c>
      <c r="S196" s="7">
        <f t="shared" si="37"/>
        <v>4.7639999999999993</v>
      </c>
      <c r="T196" s="2">
        <f>ステ計算型!$I$27</f>
        <v>1.1000000000000001</v>
      </c>
      <c r="U196" s="2">
        <f>ステ計算型!$J$29</f>
        <v>2</v>
      </c>
      <c r="V196" s="2">
        <f>ステ計算型!$F$32</f>
        <v>0.75</v>
      </c>
      <c r="W196" s="2">
        <f>ステ計算型!$G$34</f>
        <v>1</v>
      </c>
      <c r="X196" s="7">
        <f t="shared" si="33"/>
        <v>77000.22</v>
      </c>
      <c r="Y196" s="7">
        <f t="shared" si="30"/>
        <v>400</v>
      </c>
      <c r="Z196" s="7">
        <f t="shared" si="31"/>
        <v>1</v>
      </c>
      <c r="AA196" s="38">
        <f>IF(L196&lt;ステ計算型!$A$20,0,1)</f>
        <v>0</v>
      </c>
      <c r="AB196" s="3">
        <f t="shared" si="32"/>
        <v>0</v>
      </c>
    </row>
    <row r="197" spans="1:28" ht="8.25" customHeight="1">
      <c r="A197" s="3">
        <f t="shared" ref="A197:A260" si="39">X197*Z197*AA197</f>
        <v>0</v>
      </c>
      <c r="B197" s="2">
        <f>ステ計算型!$B$2</f>
        <v>101</v>
      </c>
      <c r="C197" s="7">
        <f>VLOOKUP(B197,ポイント!$A$1:$D$43,4,FALSE)</f>
        <v>571</v>
      </c>
      <c r="D197" s="2">
        <f>ステ計算型!$B$4</f>
        <v>5</v>
      </c>
      <c r="E197" s="2">
        <f>ステ計算型!$B$6</f>
        <v>127</v>
      </c>
      <c r="F197" s="2">
        <f>ステ計算型!$B$8</f>
        <v>10</v>
      </c>
      <c r="G197" s="2">
        <f>ステ計算型!$B$9</f>
        <v>82</v>
      </c>
      <c r="H197" s="7">
        <f t="shared" si="34"/>
        <v>347</v>
      </c>
      <c r="I197" s="5">
        <f>ステ計算型!$K$3</f>
        <v>7390</v>
      </c>
      <c r="J197" s="5">
        <f>ステ計算型!$N$3</f>
        <v>66</v>
      </c>
      <c r="K197" s="5">
        <v>198</v>
      </c>
      <c r="L197" s="7">
        <f t="shared" si="35"/>
        <v>149</v>
      </c>
      <c r="M197" s="7">
        <f t="shared" ref="M197:M260" si="40">ROUNDDOWN(I197*(L197/100+1)+L197,0)</f>
        <v>18550</v>
      </c>
      <c r="N197" s="2">
        <v>1</v>
      </c>
      <c r="O197" s="7">
        <f t="shared" si="38"/>
        <v>0.4</v>
      </c>
      <c r="P197" s="7">
        <f t="shared" si="36"/>
        <v>0.4</v>
      </c>
      <c r="Q197" s="2">
        <f>ステ計算型!$I$29</f>
        <v>1</v>
      </c>
      <c r="R197" s="2">
        <f>ステ計算型!$E$33</f>
        <v>0.2</v>
      </c>
      <c r="S197" s="7">
        <f t="shared" si="37"/>
        <v>4.7759999999999998</v>
      </c>
      <c r="T197" s="2">
        <f>ステ計算型!$I$27</f>
        <v>1.1000000000000001</v>
      </c>
      <c r="U197" s="2">
        <f>ステ計算型!$J$29</f>
        <v>2</v>
      </c>
      <c r="V197" s="2">
        <f>ステ計算型!$F$32</f>
        <v>0.75</v>
      </c>
      <c r="W197" s="2">
        <f>ステ計算型!$G$34</f>
        <v>1</v>
      </c>
      <c r="X197" s="7">
        <f t="shared" si="33"/>
        <v>76837.068000000014</v>
      </c>
      <c r="Y197" s="7">
        <f t="shared" ref="Y197:Y260" si="41">IF(B197&gt;99,400,350)</f>
        <v>400</v>
      </c>
      <c r="Z197" s="7">
        <f t="shared" ref="Z197:Z260" si="42">IF(L197&gt;Y197,0,1)</f>
        <v>1</v>
      </c>
      <c r="AA197" s="38">
        <f>IF(L197&lt;ステ計算型!$A$20,0,1)</f>
        <v>0</v>
      </c>
      <c r="AB197" s="3">
        <f t="shared" ref="AB197:AB260" si="43">X197*Z197*AA197</f>
        <v>0</v>
      </c>
    </row>
    <row r="198" spans="1:28" ht="8.25" customHeight="1">
      <c r="A198" s="3">
        <f t="shared" si="39"/>
        <v>0</v>
      </c>
      <c r="B198" s="2">
        <f>ステ計算型!$B$2</f>
        <v>101</v>
      </c>
      <c r="C198" s="7">
        <f>VLOOKUP(B198,ポイント!$A$1:$D$43,4,FALSE)</f>
        <v>571</v>
      </c>
      <c r="D198" s="2">
        <f>ステ計算型!$B$4</f>
        <v>5</v>
      </c>
      <c r="E198" s="2">
        <f>ステ計算型!$B$6</f>
        <v>127</v>
      </c>
      <c r="F198" s="2">
        <f>ステ計算型!$B$8</f>
        <v>10</v>
      </c>
      <c r="G198" s="2">
        <f>ステ計算型!$B$9</f>
        <v>82</v>
      </c>
      <c r="H198" s="7">
        <f t="shared" si="34"/>
        <v>347</v>
      </c>
      <c r="I198" s="5">
        <f>ステ計算型!$K$3</f>
        <v>7390</v>
      </c>
      <c r="J198" s="5">
        <f>ステ計算型!$N$3</f>
        <v>66</v>
      </c>
      <c r="K198" s="5">
        <v>199</v>
      </c>
      <c r="L198" s="7">
        <f t="shared" si="35"/>
        <v>148</v>
      </c>
      <c r="M198" s="7">
        <f t="shared" si="40"/>
        <v>18475</v>
      </c>
      <c r="N198" s="2">
        <v>1</v>
      </c>
      <c r="O198" s="7">
        <f t="shared" si="38"/>
        <v>0.4</v>
      </c>
      <c r="P198" s="7">
        <f t="shared" si="36"/>
        <v>0.4</v>
      </c>
      <c r="Q198" s="2">
        <f>ステ計算型!$I$29</f>
        <v>1</v>
      </c>
      <c r="R198" s="2">
        <f>ステ計算型!$E$33</f>
        <v>0.2</v>
      </c>
      <c r="S198" s="7">
        <f t="shared" si="37"/>
        <v>4.7880000000000003</v>
      </c>
      <c r="T198" s="2">
        <f>ステ計算型!$I$27</f>
        <v>1.1000000000000001</v>
      </c>
      <c r="U198" s="2">
        <f>ステ計算型!$J$29</f>
        <v>2</v>
      </c>
      <c r="V198" s="2">
        <f>ステ計算型!$F$32</f>
        <v>0.75</v>
      </c>
      <c r="W198" s="2">
        <f>ステ計算型!$G$34</f>
        <v>1</v>
      </c>
      <c r="X198" s="7">
        <f t="shared" si="33"/>
        <v>76672.728000000017</v>
      </c>
      <c r="Y198" s="7">
        <f t="shared" si="41"/>
        <v>400</v>
      </c>
      <c r="Z198" s="7">
        <f t="shared" si="42"/>
        <v>1</v>
      </c>
      <c r="AA198" s="38">
        <f>IF(L198&lt;ステ計算型!$A$20,0,1)</f>
        <v>0</v>
      </c>
      <c r="AB198" s="3">
        <f t="shared" si="43"/>
        <v>0</v>
      </c>
    </row>
    <row r="199" spans="1:28" ht="8.25" customHeight="1">
      <c r="A199" s="3">
        <f t="shared" si="39"/>
        <v>0</v>
      </c>
      <c r="B199" s="2">
        <f>ステ計算型!$B$2</f>
        <v>101</v>
      </c>
      <c r="C199" s="7">
        <f>VLOOKUP(B199,ポイント!$A$1:$D$43,4,FALSE)</f>
        <v>571</v>
      </c>
      <c r="D199" s="2">
        <f>ステ計算型!$B$4</f>
        <v>5</v>
      </c>
      <c r="E199" s="2">
        <f>ステ計算型!$B$6</f>
        <v>127</v>
      </c>
      <c r="F199" s="2">
        <f>ステ計算型!$B$8</f>
        <v>10</v>
      </c>
      <c r="G199" s="2">
        <f>ステ計算型!$B$9</f>
        <v>82</v>
      </c>
      <c r="H199" s="7">
        <f t="shared" si="34"/>
        <v>347</v>
      </c>
      <c r="I199" s="5">
        <f>ステ計算型!$K$3</f>
        <v>7390</v>
      </c>
      <c r="J199" s="5">
        <f>ステ計算型!$N$3</f>
        <v>66</v>
      </c>
      <c r="K199" s="5">
        <v>200</v>
      </c>
      <c r="L199" s="7">
        <f t="shared" si="35"/>
        <v>147</v>
      </c>
      <c r="M199" s="7">
        <f t="shared" si="40"/>
        <v>18400</v>
      </c>
      <c r="N199" s="2">
        <v>1</v>
      </c>
      <c r="O199" s="7">
        <f t="shared" si="38"/>
        <v>0.4</v>
      </c>
      <c r="P199" s="7">
        <f t="shared" si="36"/>
        <v>0.4</v>
      </c>
      <c r="Q199" s="2">
        <f>ステ計算型!$I$29</f>
        <v>1</v>
      </c>
      <c r="R199" s="2">
        <f>ステ計算型!$E$33</f>
        <v>0.2</v>
      </c>
      <c r="S199" s="7">
        <f t="shared" si="37"/>
        <v>4.8</v>
      </c>
      <c r="T199" s="2">
        <f>ステ計算型!$I$27</f>
        <v>1.1000000000000001</v>
      </c>
      <c r="U199" s="2">
        <f>ステ計算型!$J$29</f>
        <v>2</v>
      </c>
      <c r="V199" s="2">
        <f>ステ計算型!$F$32</f>
        <v>0.75</v>
      </c>
      <c r="W199" s="2">
        <f>ステ計算型!$G$34</f>
        <v>1</v>
      </c>
      <c r="X199" s="7">
        <f t="shared" si="33"/>
        <v>76507.200000000012</v>
      </c>
      <c r="Y199" s="7">
        <f t="shared" si="41"/>
        <v>400</v>
      </c>
      <c r="Z199" s="7">
        <f t="shared" si="42"/>
        <v>1</v>
      </c>
      <c r="AA199" s="38">
        <f>IF(L199&lt;ステ計算型!$A$20,0,1)</f>
        <v>0</v>
      </c>
      <c r="AB199" s="3">
        <f t="shared" si="43"/>
        <v>0</v>
      </c>
    </row>
    <row r="200" spans="1:28" ht="8.25" customHeight="1">
      <c r="A200" s="3">
        <f t="shared" si="39"/>
        <v>0</v>
      </c>
      <c r="B200" s="2">
        <f>ステ計算型!$B$2</f>
        <v>101</v>
      </c>
      <c r="C200" s="7">
        <f>VLOOKUP(B200,ポイント!$A$1:$D$43,4,FALSE)</f>
        <v>571</v>
      </c>
      <c r="D200" s="2">
        <f>ステ計算型!$B$4</f>
        <v>5</v>
      </c>
      <c r="E200" s="2">
        <f>ステ計算型!$B$6</f>
        <v>127</v>
      </c>
      <c r="F200" s="2">
        <f>ステ計算型!$B$8</f>
        <v>10</v>
      </c>
      <c r="G200" s="2">
        <f>ステ計算型!$B$9</f>
        <v>82</v>
      </c>
      <c r="H200" s="7">
        <f t="shared" si="34"/>
        <v>347</v>
      </c>
      <c r="I200" s="5">
        <f>ステ計算型!$K$3</f>
        <v>7390</v>
      </c>
      <c r="J200" s="5">
        <f>ステ計算型!$N$3</f>
        <v>66</v>
      </c>
      <c r="K200" s="5">
        <v>201</v>
      </c>
      <c r="L200" s="7">
        <f t="shared" si="35"/>
        <v>146</v>
      </c>
      <c r="M200" s="7">
        <f t="shared" si="40"/>
        <v>18325</v>
      </c>
      <c r="N200" s="2">
        <v>1</v>
      </c>
      <c r="O200" s="7">
        <f t="shared" si="38"/>
        <v>0.4</v>
      </c>
      <c r="P200" s="7">
        <f t="shared" si="36"/>
        <v>0.4</v>
      </c>
      <c r="Q200" s="2">
        <f>ステ計算型!$I$29</f>
        <v>1</v>
      </c>
      <c r="R200" s="2">
        <f>ステ計算型!$E$33</f>
        <v>0.2</v>
      </c>
      <c r="S200" s="7">
        <f t="shared" si="37"/>
        <v>4.8119999999999994</v>
      </c>
      <c r="T200" s="2">
        <f>ステ計算型!$I$27</f>
        <v>1.1000000000000001</v>
      </c>
      <c r="U200" s="2">
        <f>ステ計算型!$J$29</f>
        <v>2</v>
      </c>
      <c r="V200" s="2">
        <f>ステ計算型!$F$32</f>
        <v>0.75</v>
      </c>
      <c r="W200" s="2">
        <f>ステ計算型!$G$34</f>
        <v>1</v>
      </c>
      <c r="X200" s="7">
        <f t="shared" si="33"/>
        <v>76340.483999999997</v>
      </c>
      <c r="Y200" s="7">
        <f t="shared" si="41"/>
        <v>400</v>
      </c>
      <c r="Z200" s="7">
        <f t="shared" si="42"/>
        <v>1</v>
      </c>
      <c r="AA200" s="38">
        <f>IF(L200&lt;ステ計算型!$A$20,0,1)</f>
        <v>0</v>
      </c>
      <c r="AB200" s="3">
        <f t="shared" si="43"/>
        <v>0</v>
      </c>
    </row>
    <row r="201" spans="1:28" ht="8.25" customHeight="1">
      <c r="A201" s="3">
        <f t="shared" si="39"/>
        <v>0</v>
      </c>
      <c r="B201" s="2">
        <f>ステ計算型!$B$2</f>
        <v>101</v>
      </c>
      <c r="C201" s="7">
        <f>VLOOKUP(B201,ポイント!$A$1:$D$43,4,FALSE)</f>
        <v>571</v>
      </c>
      <c r="D201" s="2">
        <f>ステ計算型!$B$4</f>
        <v>5</v>
      </c>
      <c r="E201" s="2">
        <f>ステ計算型!$B$6</f>
        <v>127</v>
      </c>
      <c r="F201" s="2">
        <f>ステ計算型!$B$8</f>
        <v>10</v>
      </c>
      <c r="G201" s="2">
        <f>ステ計算型!$B$9</f>
        <v>82</v>
      </c>
      <c r="H201" s="7">
        <f t="shared" si="34"/>
        <v>347</v>
      </c>
      <c r="I201" s="5">
        <f>ステ計算型!$K$3</f>
        <v>7390</v>
      </c>
      <c r="J201" s="5">
        <f>ステ計算型!$N$3</f>
        <v>66</v>
      </c>
      <c r="K201" s="5">
        <v>202</v>
      </c>
      <c r="L201" s="7">
        <f t="shared" si="35"/>
        <v>145</v>
      </c>
      <c r="M201" s="7">
        <f t="shared" si="40"/>
        <v>18250</v>
      </c>
      <c r="N201" s="2">
        <v>1</v>
      </c>
      <c r="O201" s="7">
        <f t="shared" si="38"/>
        <v>0.4</v>
      </c>
      <c r="P201" s="7">
        <f t="shared" si="36"/>
        <v>0.4</v>
      </c>
      <c r="Q201" s="2">
        <f>ステ計算型!$I$29</f>
        <v>1</v>
      </c>
      <c r="R201" s="2">
        <f>ステ計算型!$E$33</f>
        <v>0.2</v>
      </c>
      <c r="S201" s="7">
        <f t="shared" si="37"/>
        <v>4.823999999999999</v>
      </c>
      <c r="T201" s="2">
        <f>ステ計算型!$I$27</f>
        <v>1.1000000000000001</v>
      </c>
      <c r="U201" s="2">
        <f>ステ計算型!$J$29</f>
        <v>2</v>
      </c>
      <c r="V201" s="2">
        <f>ステ計算型!$F$32</f>
        <v>0.75</v>
      </c>
      <c r="W201" s="2">
        <f>ステ計算型!$G$34</f>
        <v>1</v>
      </c>
      <c r="X201" s="7">
        <f t="shared" si="33"/>
        <v>76172.58</v>
      </c>
      <c r="Y201" s="7">
        <f t="shared" si="41"/>
        <v>400</v>
      </c>
      <c r="Z201" s="7">
        <f t="shared" si="42"/>
        <v>1</v>
      </c>
      <c r="AA201" s="38">
        <f>IF(L201&lt;ステ計算型!$A$20,0,1)</f>
        <v>0</v>
      </c>
      <c r="AB201" s="3">
        <f t="shared" si="43"/>
        <v>0</v>
      </c>
    </row>
    <row r="202" spans="1:28" ht="8.25" customHeight="1">
      <c r="A202" s="3">
        <f t="shared" si="39"/>
        <v>0</v>
      </c>
      <c r="B202" s="2">
        <f>ステ計算型!$B$2</f>
        <v>101</v>
      </c>
      <c r="C202" s="7">
        <f>VLOOKUP(B202,ポイント!$A$1:$D$43,4,FALSE)</f>
        <v>571</v>
      </c>
      <c r="D202" s="2">
        <f>ステ計算型!$B$4</f>
        <v>5</v>
      </c>
      <c r="E202" s="2">
        <f>ステ計算型!$B$6</f>
        <v>127</v>
      </c>
      <c r="F202" s="2">
        <f>ステ計算型!$B$8</f>
        <v>10</v>
      </c>
      <c r="G202" s="2">
        <f>ステ計算型!$B$9</f>
        <v>82</v>
      </c>
      <c r="H202" s="7">
        <f t="shared" si="34"/>
        <v>347</v>
      </c>
      <c r="I202" s="5">
        <f>ステ計算型!$K$3</f>
        <v>7390</v>
      </c>
      <c r="J202" s="5">
        <f>ステ計算型!$N$3</f>
        <v>66</v>
      </c>
      <c r="K202" s="5">
        <v>203</v>
      </c>
      <c r="L202" s="7">
        <f t="shared" si="35"/>
        <v>144</v>
      </c>
      <c r="M202" s="7">
        <f t="shared" si="40"/>
        <v>18175</v>
      </c>
      <c r="N202" s="2">
        <v>1</v>
      </c>
      <c r="O202" s="7">
        <f t="shared" si="38"/>
        <v>0.4</v>
      </c>
      <c r="P202" s="7">
        <f t="shared" si="36"/>
        <v>0.4</v>
      </c>
      <c r="Q202" s="2">
        <f>ステ計算型!$I$29</f>
        <v>1</v>
      </c>
      <c r="R202" s="2">
        <f>ステ計算型!$E$33</f>
        <v>0.2</v>
      </c>
      <c r="S202" s="7">
        <f t="shared" si="37"/>
        <v>4.8359999999999994</v>
      </c>
      <c r="T202" s="2">
        <f>ステ計算型!$I$27</f>
        <v>1.1000000000000001</v>
      </c>
      <c r="U202" s="2">
        <f>ステ計算型!$J$29</f>
        <v>2</v>
      </c>
      <c r="V202" s="2">
        <f>ステ計算型!$F$32</f>
        <v>0.75</v>
      </c>
      <c r="W202" s="2">
        <f>ステ計算型!$G$34</f>
        <v>1</v>
      </c>
      <c r="X202" s="7">
        <f t="shared" si="33"/>
        <v>76003.488000000012</v>
      </c>
      <c r="Y202" s="7">
        <f t="shared" si="41"/>
        <v>400</v>
      </c>
      <c r="Z202" s="7">
        <f t="shared" si="42"/>
        <v>1</v>
      </c>
      <c r="AA202" s="38">
        <f>IF(L202&lt;ステ計算型!$A$20,0,1)</f>
        <v>0</v>
      </c>
      <c r="AB202" s="3">
        <f t="shared" si="43"/>
        <v>0</v>
      </c>
    </row>
    <row r="203" spans="1:28" ht="8.25" customHeight="1">
      <c r="A203" s="3">
        <f t="shared" si="39"/>
        <v>0</v>
      </c>
      <c r="B203" s="2">
        <f>ステ計算型!$B$2</f>
        <v>101</v>
      </c>
      <c r="C203" s="7">
        <f>VLOOKUP(B203,ポイント!$A$1:$D$43,4,FALSE)</f>
        <v>571</v>
      </c>
      <c r="D203" s="2">
        <f>ステ計算型!$B$4</f>
        <v>5</v>
      </c>
      <c r="E203" s="2">
        <f>ステ計算型!$B$6</f>
        <v>127</v>
      </c>
      <c r="F203" s="2">
        <f>ステ計算型!$B$8</f>
        <v>10</v>
      </c>
      <c r="G203" s="2">
        <f>ステ計算型!$B$9</f>
        <v>82</v>
      </c>
      <c r="H203" s="7">
        <f t="shared" si="34"/>
        <v>347</v>
      </c>
      <c r="I203" s="5">
        <f>ステ計算型!$K$3</f>
        <v>7390</v>
      </c>
      <c r="J203" s="5">
        <f>ステ計算型!$N$3</f>
        <v>66</v>
      </c>
      <c r="K203" s="5">
        <v>204</v>
      </c>
      <c r="L203" s="7">
        <f t="shared" si="35"/>
        <v>143</v>
      </c>
      <c r="M203" s="7">
        <f t="shared" si="40"/>
        <v>18100</v>
      </c>
      <c r="N203" s="2">
        <v>1</v>
      </c>
      <c r="O203" s="7">
        <f t="shared" si="38"/>
        <v>0.41</v>
      </c>
      <c r="P203" s="7">
        <f t="shared" si="36"/>
        <v>0.41</v>
      </c>
      <c r="Q203" s="2">
        <f>ステ計算型!$I$29</f>
        <v>1</v>
      </c>
      <c r="R203" s="2">
        <f>ステ計算型!$E$33</f>
        <v>0.2</v>
      </c>
      <c r="S203" s="7">
        <f t="shared" si="37"/>
        <v>4.8479999999999999</v>
      </c>
      <c r="T203" s="2">
        <f>ステ計算型!$I$27</f>
        <v>1.1000000000000001</v>
      </c>
      <c r="U203" s="2">
        <f>ステ計算型!$J$29</f>
        <v>2</v>
      </c>
      <c r="V203" s="2">
        <f>ステ計算型!$F$32</f>
        <v>0.75</v>
      </c>
      <c r="W203" s="2">
        <f>ステ計算型!$G$34</f>
        <v>1</v>
      </c>
      <c r="X203" s="7">
        <f t="shared" si="33"/>
        <v>76982.41320000001</v>
      </c>
      <c r="Y203" s="7">
        <f t="shared" si="41"/>
        <v>400</v>
      </c>
      <c r="Z203" s="7">
        <f t="shared" si="42"/>
        <v>1</v>
      </c>
      <c r="AA203" s="38">
        <f>IF(L203&lt;ステ計算型!$A$20,0,1)</f>
        <v>0</v>
      </c>
      <c r="AB203" s="3">
        <f t="shared" si="43"/>
        <v>0</v>
      </c>
    </row>
    <row r="204" spans="1:28" ht="8.25" customHeight="1">
      <c r="A204" s="3">
        <f t="shared" si="39"/>
        <v>0</v>
      </c>
      <c r="B204" s="2">
        <f>ステ計算型!$B$2</f>
        <v>101</v>
      </c>
      <c r="C204" s="7">
        <f>VLOOKUP(B204,ポイント!$A$1:$D$43,4,FALSE)</f>
        <v>571</v>
      </c>
      <c r="D204" s="2">
        <f>ステ計算型!$B$4</f>
        <v>5</v>
      </c>
      <c r="E204" s="2">
        <f>ステ計算型!$B$6</f>
        <v>127</v>
      </c>
      <c r="F204" s="2">
        <f>ステ計算型!$B$8</f>
        <v>10</v>
      </c>
      <c r="G204" s="2">
        <f>ステ計算型!$B$9</f>
        <v>82</v>
      </c>
      <c r="H204" s="7">
        <f t="shared" si="34"/>
        <v>347</v>
      </c>
      <c r="I204" s="5">
        <f>ステ計算型!$K$3</f>
        <v>7390</v>
      </c>
      <c r="J204" s="5">
        <f>ステ計算型!$N$3</f>
        <v>66</v>
      </c>
      <c r="K204" s="5">
        <v>205</v>
      </c>
      <c r="L204" s="7">
        <f t="shared" si="35"/>
        <v>142</v>
      </c>
      <c r="M204" s="7">
        <f t="shared" si="40"/>
        <v>18025</v>
      </c>
      <c r="N204" s="2">
        <v>1</v>
      </c>
      <c r="O204" s="7">
        <f t="shared" si="38"/>
        <v>0.41</v>
      </c>
      <c r="P204" s="7">
        <f t="shared" si="36"/>
        <v>0.41</v>
      </c>
      <c r="Q204" s="2">
        <f>ステ計算型!$I$29</f>
        <v>1</v>
      </c>
      <c r="R204" s="2">
        <f>ステ計算型!$E$33</f>
        <v>0.2</v>
      </c>
      <c r="S204" s="7">
        <f t="shared" si="37"/>
        <v>4.8599999999999994</v>
      </c>
      <c r="T204" s="2">
        <f>ステ計算型!$I$27</f>
        <v>1.1000000000000001</v>
      </c>
      <c r="U204" s="2">
        <f>ステ計算型!$J$29</f>
        <v>2</v>
      </c>
      <c r="V204" s="2">
        <f>ステ計算型!$F$32</f>
        <v>0.75</v>
      </c>
      <c r="W204" s="2">
        <f>ステ計算型!$G$34</f>
        <v>1</v>
      </c>
      <c r="X204" s="7">
        <f t="shared" si="33"/>
        <v>76809.75224999999</v>
      </c>
      <c r="Y204" s="7">
        <f t="shared" si="41"/>
        <v>400</v>
      </c>
      <c r="Z204" s="7">
        <f t="shared" si="42"/>
        <v>1</v>
      </c>
      <c r="AA204" s="38">
        <f>IF(L204&lt;ステ計算型!$A$20,0,1)</f>
        <v>0</v>
      </c>
      <c r="AB204" s="3">
        <f t="shared" si="43"/>
        <v>0</v>
      </c>
    </row>
    <row r="205" spans="1:28" ht="8.25" customHeight="1">
      <c r="A205" s="3">
        <f t="shared" si="39"/>
        <v>0</v>
      </c>
      <c r="B205" s="2">
        <f>ステ計算型!$B$2</f>
        <v>101</v>
      </c>
      <c r="C205" s="7">
        <f>VLOOKUP(B205,ポイント!$A$1:$D$43,4,FALSE)</f>
        <v>571</v>
      </c>
      <c r="D205" s="2">
        <f>ステ計算型!$B$4</f>
        <v>5</v>
      </c>
      <c r="E205" s="2">
        <f>ステ計算型!$B$6</f>
        <v>127</v>
      </c>
      <c r="F205" s="2">
        <f>ステ計算型!$B$8</f>
        <v>10</v>
      </c>
      <c r="G205" s="2">
        <f>ステ計算型!$B$9</f>
        <v>82</v>
      </c>
      <c r="H205" s="7">
        <f t="shared" si="34"/>
        <v>347</v>
      </c>
      <c r="I205" s="5">
        <f>ステ計算型!$K$3</f>
        <v>7390</v>
      </c>
      <c r="J205" s="5">
        <f>ステ計算型!$N$3</f>
        <v>66</v>
      </c>
      <c r="K205" s="5">
        <v>206</v>
      </c>
      <c r="L205" s="7">
        <f t="shared" si="35"/>
        <v>141</v>
      </c>
      <c r="M205" s="7">
        <f t="shared" si="40"/>
        <v>17950</v>
      </c>
      <c r="N205" s="2">
        <v>1</v>
      </c>
      <c r="O205" s="7">
        <f t="shared" si="38"/>
        <v>0.41</v>
      </c>
      <c r="P205" s="7">
        <f t="shared" si="36"/>
        <v>0.41</v>
      </c>
      <c r="Q205" s="2">
        <f>ステ計算型!$I$29</f>
        <v>1</v>
      </c>
      <c r="R205" s="2">
        <f>ステ計算型!$E$33</f>
        <v>0.2</v>
      </c>
      <c r="S205" s="7">
        <f t="shared" si="37"/>
        <v>4.8720000000000008</v>
      </c>
      <c r="T205" s="2">
        <f>ステ計算型!$I$27</f>
        <v>1.1000000000000001</v>
      </c>
      <c r="U205" s="2">
        <f>ステ計算型!$J$29</f>
        <v>2</v>
      </c>
      <c r="V205" s="2">
        <f>ステ計算型!$F$32</f>
        <v>0.75</v>
      </c>
      <c r="W205" s="2">
        <f>ステ計算型!$G$34</f>
        <v>1</v>
      </c>
      <c r="X205" s="7">
        <f t="shared" si="33"/>
        <v>76635.873600000006</v>
      </c>
      <c r="Y205" s="7">
        <f t="shared" si="41"/>
        <v>400</v>
      </c>
      <c r="Z205" s="7">
        <f t="shared" si="42"/>
        <v>1</v>
      </c>
      <c r="AA205" s="38">
        <f>IF(L205&lt;ステ計算型!$A$20,0,1)</f>
        <v>0</v>
      </c>
      <c r="AB205" s="3">
        <f t="shared" si="43"/>
        <v>0</v>
      </c>
    </row>
    <row r="206" spans="1:28" ht="8.25" customHeight="1">
      <c r="A206" s="3">
        <f t="shared" si="39"/>
        <v>0</v>
      </c>
      <c r="B206" s="2">
        <f>ステ計算型!$B$2</f>
        <v>101</v>
      </c>
      <c r="C206" s="7">
        <f>VLOOKUP(B206,ポイント!$A$1:$D$43,4,FALSE)</f>
        <v>571</v>
      </c>
      <c r="D206" s="2">
        <f>ステ計算型!$B$4</f>
        <v>5</v>
      </c>
      <c r="E206" s="2">
        <f>ステ計算型!$B$6</f>
        <v>127</v>
      </c>
      <c r="F206" s="2">
        <f>ステ計算型!$B$8</f>
        <v>10</v>
      </c>
      <c r="G206" s="2">
        <f>ステ計算型!$B$9</f>
        <v>82</v>
      </c>
      <c r="H206" s="7">
        <f t="shared" si="34"/>
        <v>347</v>
      </c>
      <c r="I206" s="5">
        <f>ステ計算型!$K$3</f>
        <v>7390</v>
      </c>
      <c r="J206" s="5">
        <f>ステ計算型!$N$3</f>
        <v>66</v>
      </c>
      <c r="K206" s="5">
        <v>207</v>
      </c>
      <c r="L206" s="7">
        <f t="shared" si="35"/>
        <v>140</v>
      </c>
      <c r="M206" s="7">
        <f t="shared" si="40"/>
        <v>17876</v>
      </c>
      <c r="N206" s="2">
        <v>1</v>
      </c>
      <c r="O206" s="7">
        <f t="shared" si="38"/>
        <v>0.41</v>
      </c>
      <c r="P206" s="7">
        <f t="shared" si="36"/>
        <v>0.41</v>
      </c>
      <c r="Q206" s="2">
        <f>ステ計算型!$I$29</f>
        <v>1</v>
      </c>
      <c r="R206" s="2">
        <f>ステ計算型!$E$33</f>
        <v>0.2</v>
      </c>
      <c r="S206" s="7">
        <f t="shared" si="37"/>
        <v>4.8840000000000003</v>
      </c>
      <c r="T206" s="2">
        <f>ステ計算型!$I$27</f>
        <v>1.1000000000000001</v>
      </c>
      <c r="U206" s="2">
        <f>ステ計算型!$J$29</f>
        <v>2</v>
      </c>
      <c r="V206" s="2">
        <f>ステ計算型!$F$32</f>
        <v>0.75</v>
      </c>
      <c r="W206" s="2">
        <f>ステ計算型!$G$34</f>
        <v>1</v>
      </c>
      <c r="X206" s="7">
        <f t="shared" si="33"/>
        <v>76465.054776000004</v>
      </c>
      <c r="Y206" s="7">
        <f t="shared" si="41"/>
        <v>400</v>
      </c>
      <c r="Z206" s="7">
        <f t="shared" si="42"/>
        <v>1</v>
      </c>
      <c r="AA206" s="38">
        <f>IF(L206&lt;ステ計算型!$A$20,0,1)</f>
        <v>0</v>
      </c>
      <c r="AB206" s="3">
        <f t="shared" si="43"/>
        <v>0</v>
      </c>
    </row>
    <row r="207" spans="1:28" ht="8.25" customHeight="1">
      <c r="A207" s="3">
        <f t="shared" si="39"/>
        <v>0</v>
      </c>
      <c r="B207" s="2">
        <f>ステ計算型!$B$2</f>
        <v>101</v>
      </c>
      <c r="C207" s="7">
        <f>VLOOKUP(B207,ポイント!$A$1:$D$43,4,FALSE)</f>
        <v>571</v>
      </c>
      <c r="D207" s="2">
        <f>ステ計算型!$B$4</f>
        <v>5</v>
      </c>
      <c r="E207" s="2">
        <f>ステ計算型!$B$6</f>
        <v>127</v>
      </c>
      <c r="F207" s="2">
        <f>ステ計算型!$B$8</f>
        <v>10</v>
      </c>
      <c r="G207" s="2">
        <f>ステ計算型!$B$9</f>
        <v>82</v>
      </c>
      <c r="H207" s="7">
        <f t="shared" si="34"/>
        <v>347</v>
      </c>
      <c r="I207" s="5">
        <f>ステ計算型!$K$3</f>
        <v>7390</v>
      </c>
      <c r="J207" s="5">
        <f>ステ計算型!$N$3</f>
        <v>66</v>
      </c>
      <c r="K207" s="5">
        <v>208</v>
      </c>
      <c r="L207" s="7">
        <f t="shared" si="35"/>
        <v>139</v>
      </c>
      <c r="M207" s="7">
        <f t="shared" si="40"/>
        <v>17801</v>
      </c>
      <c r="N207" s="2">
        <v>1</v>
      </c>
      <c r="O207" s="7">
        <f t="shared" si="38"/>
        <v>0.41</v>
      </c>
      <c r="P207" s="7">
        <f t="shared" si="36"/>
        <v>0.41</v>
      </c>
      <c r="Q207" s="2">
        <f>ステ計算型!$I$29</f>
        <v>1</v>
      </c>
      <c r="R207" s="2">
        <f>ステ計算型!$E$33</f>
        <v>0.2</v>
      </c>
      <c r="S207" s="7">
        <f t="shared" si="37"/>
        <v>4.8959999999999999</v>
      </c>
      <c r="T207" s="2">
        <f>ステ計算型!$I$27</f>
        <v>1.1000000000000001</v>
      </c>
      <c r="U207" s="2">
        <f>ステ計算型!$J$29</f>
        <v>2</v>
      </c>
      <c r="V207" s="2">
        <f>ステ計算型!$F$32</f>
        <v>0.75</v>
      </c>
      <c r="W207" s="2">
        <f>ステ計算型!$G$34</f>
        <v>1</v>
      </c>
      <c r="X207" s="7">
        <f t="shared" si="33"/>
        <v>76288.748844000002</v>
      </c>
      <c r="Y207" s="7">
        <f t="shared" si="41"/>
        <v>400</v>
      </c>
      <c r="Z207" s="7">
        <f t="shared" si="42"/>
        <v>1</v>
      </c>
      <c r="AA207" s="38">
        <f>IF(L207&lt;ステ計算型!$A$20,0,1)</f>
        <v>0</v>
      </c>
      <c r="AB207" s="3">
        <f t="shared" si="43"/>
        <v>0</v>
      </c>
    </row>
    <row r="208" spans="1:28" ht="8.25" customHeight="1">
      <c r="A208" s="3">
        <f t="shared" si="39"/>
        <v>0</v>
      </c>
      <c r="B208" s="2">
        <f>ステ計算型!$B$2</f>
        <v>101</v>
      </c>
      <c r="C208" s="7">
        <f>VLOOKUP(B208,ポイント!$A$1:$D$43,4,FALSE)</f>
        <v>571</v>
      </c>
      <c r="D208" s="2">
        <f>ステ計算型!$B$4</f>
        <v>5</v>
      </c>
      <c r="E208" s="2">
        <f>ステ計算型!$B$6</f>
        <v>127</v>
      </c>
      <c r="F208" s="2">
        <f>ステ計算型!$B$8</f>
        <v>10</v>
      </c>
      <c r="G208" s="2">
        <f>ステ計算型!$B$9</f>
        <v>82</v>
      </c>
      <c r="H208" s="7">
        <f t="shared" si="34"/>
        <v>347</v>
      </c>
      <c r="I208" s="5">
        <f>ステ計算型!$K$3</f>
        <v>7390</v>
      </c>
      <c r="J208" s="5">
        <f>ステ計算型!$N$3</f>
        <v>66</v>
      </c>
      <c r="K208" s="5">
        <v>209</v>
      </c>
      <c r="L208" s="7">
        <f t="shared" si="35"/>
        <v>138</v>
      </c>
      <c r="M208" s="7">
        <f t="shared" si="40"/>
        <v>17726</v>
      </c>
      <c r="N208" s="2">
        <v>1</v>
      </c>
      <c r="O208" s="7">
        <f t="shared" si="38"/>
        <v>0.41</v>
      </c>
      <c r="P208" s="7">
        <f t="shared" si="36"/>
        <v>0.41</v>
      </c>
      <c r="Q208" s="2">
        <f>ステ計算型!$I$29</f>
        <v>1</v>
      </c>
      <c r="R208" s="2">
        <f>ステ計算型!$E$33</f>
        <v>0.2</v>
      </c>
      <c r="S208" s="7">
        <f t="shared" si="37"/>
        <v>4.9079999999999995</v>
      </c>
      <c r="T208" s="2">
        <f>ステ計算型!$I$27</f>
        <v>1.1000000000000001</v>
      </c>
      <c r="U208" s="2">
        <f>ステ計算型!$J$29</f>
        <v>2</v>
      </c>
      <c r="V208" s="2">
        <f>ステ計算型!$F$32</f>
        <v>0.75</v>
      </c>
      <c r="W208" s="2">
        <f>ステ計算型!$G$34</f>
        <v>1</v>
      </c>
      <c r="X208" s="7">
        <f t="shared" ref="X208:X271" si="44">M208*(P208*S208+1-P208)*T208*U208*V208*W208</f>
        <v>76111.22521199999</v>
      </c>
      <c r="Y208" s="7">
        <f t="shared" si="41"/>
        <v>400</v>
      </c>
      <c r="Z208" s="7">
        <f t="shared" si="42"/>
        <v>1</v>
      </c>
      <c r="AA208" s="38">
        <f>IF(L208&lt;ステ計算型!$A$20,0,1)</f>
        <v>0</v>
      </c>
      <c r="AB208" s="3">
        <f t="shared" si="43"/>
        <v>0</v>
      </c>
    </row>
    <row r="209" spans="1:28" ht="8.25" customHeight="1">
      <c r="A209" s="3">
        <f t="shared" si="39"/>
        <v>0</v>
      </c>
      <c r="B209" s="2">
        <f>ステ計算型!$B$2</f>
        <v>101</v>
      </c>
      <c r="C209" s="7">
        <f>VLOOKUP(B209,ポイント!$A$1:$D$43,4,FALSE)</f>
        <v>571</v>
      </c>
      <c r="D209" s="2">
        <f>ステ計算型!$B$4</f>
        <v>5</v>
      </c>
      <c r="E209" s="2">
        <f>ステ計算型!$B$6</f>
        <v>127</v>
      </c>
      <c r="F209" s="2">
        <f>ステ計算型!$B$8</f>
        <v>10</v>
      </c>
      <c r="G209" s="2">
        <f>ステ計算型!$B$9</f>
        <v>82</v>
      </c>
      <c r="H209" s="7">
        <f t="shared" ref="H209:H272" si="45">C209-D209-E209-F209-G209</f>
        <v>347</v>
      </c>
      <c r="I209" s="5">
        <f>ステ計算型!$K$3</f>
        <v>7390</v>
      </c>
      <c r="J209" s="5">
        <f>ステ計算型!$N$3</f>
        <v>66</v>
      </c>
      <c r="K209" s="5">
        <v>210</v>
      </c>
      <c r="L209" s="7">
        <f t="shared" ref="L209:L272" si="46">H209-K209</f>
        <v>137</v>
      </c>
      <c r="M209" s="7">
        <f t="shared" si="40"/>
        <v>17651</v>
      </c>
      <c r="N209" s="2">
        <v>1</v>
      </c>
      <c r="O209" s="7">
        <f t="shared" si="38"/>
        <v>0.41</v>
      </c>
      <c r="P209" s="7">
        <f t="shared" ref="P209:P272" si="47">IF(O209&gt;0.5,0.5,O209)</f>
        <v>0.41</v>
      </c>
      <c r="Q209" s="2">
        <f>ステ計算型!$I$29</f>
        <v>1</v>
      </c>
      <c r="R209" s="2">
        <f>ステ計算型!$E$33</f>
        <v>0.2</v>
      </c>
      <c r="S209" s="7">
        <f t="shared" ref="S209:S272" si="48">(K209/100+2)*Q209*(R209*2+1-R209)</f>
        <v>4.919999999999999</v>
      </c>
      <c r="T209" s="2">
        <f>ステ計算型!$I$27</f>
        <v>1.1000000000000001</v>
      </c>
      <c r="U209" s="2">
        <f>ステ計算型!$J$29</f>
        <v>2</v>
      </c>
      <c r="V209" s="2">
        <f>ステ計算型!$F$32</f>
        <v>0.75</v>
      </c>
      <c r="W209" s="2">
        <f>ステ計算型!$G$34</f>
        <v>1</v>
      </c>
      <c r="X209" s="7">
        <f t="shared" si="44"/>
        <v>75932.483879999985</v>
      </c>
      <c r="Y209" s="7">
        <f t="shared" si="41"/>
        <v>400</v>
      </c>
      <c r="Z209" s="7">
        <f t="shared" si="42"/>
        <v>1</v>
      </c>
      <c r="AA209" s="38">
        <f>IF(L209&lt;ステ計算型!$A$20,0,1)</f>
        <v>0</v>
      </c>
      <c r="AB209" s="3">
        <f t="shared" si="43"/>
        <v>0</v>
      </c>
    </row>
    <row r="210" spans="1:28" ht="8.25" customHeight="1">
      <c r="A210" s="3">
        <f t="shared" si="39"/>
        <v>0</v>
      </c>
      <c r="B210" s="2">
        <f>ステ計算型!$B$2</f>
        <v>101</v>
      </c>
      <c r="C210" s="7">
        <f>VLOOKUP(B210,ポイント!$A$1:$D$43,4,FALSE)</f>
        <v>571</v>
      </c>
      <c r="D210" s="2">
        <f>ステ計算型!$B$4</f>
        <v>5</v>
      </c>
      <c r="E210" s="2">
        <f>ステ計算型!$B$6</f>
        <v>127</v>
      </c>
      <c r="F210" s="2">
        <f>ステ計算型!$B$8</f>
        <v>10</v>
      </c>
      <c r="G210" s="2">
        <f>ステ計算型!$B$9</f>
        <v>82</v>
      </c>
      <c r="H210" s="7">
        <f t="shared" si="45"/>
        <v>347</v>
      </c>
      <c r="I210" s="5">
        <f>ステ計算型!$K$3</f>
        <v>7390</v>
      </c>
      <c r="J210" s="5">
        <f>ステ計算型!$N$3</f>
        <v>66</v>
      </c>
      <c r="K210" s="5">
        <v>211</v>
      </c>
      <c r="L210" s="7">
        <f t="shared" si="46"/>
        <v>136</v>
      </c>
      <c r="M210" s="7">
        <f t="shared" si="40"/>
        <v>17576</v>
      </c>
      <c r="N210" s="2">
        <v>1</v>
      </c>
      <c r="O210" s="7">
        <f t="shared" si="38"/>
        <v>0.42</v>
      </c>
      <c r="P210" s="7">
        <f t="shared" si="47"/>
        <v>0.42</v>
      </c>
      <c r="Q210" s="2">
        <f>ステ計算型!$I$29</f>
        <v>1</v>
      </c>
      <c r="R210" s="2">
        <f>ステ計算型!$E$33</f>
        <v>0.2</v>
      </c>
      <c r="S210" s="7">
        <f t="shared" si="48"/>
        <v>4.9319999999999995</v>
      </c>
      <c r="T210" s="2">
        <f>ステ計算型!$I$27</f>
        <v>1.1000000000000001</v>
      </c>
      <c r="U210" s="2">
        <f>ステ計算型!$J$29</f>
        <v>2</v>
      </c>
      <c r="V210" s="2">
        <f>ステ計算型!$F$32</f>
        <v>0.75</v>
      </c>
      <c r="W210" s="2">
        <f>ステ計算型!$G$34</f>
        <v>1</v>
      </c>
      <c r="X210" s="7">
        <f t="shared" si="44"/>
        <v>76892.820575999998</v>
      </c>
      <c r="Y210" s="7">
        <f t="shared" si="41"/>
        <v>400</v>
      </c>
      <c r="Z210" s="7">
        <f t="shared" si="42"/>
        <v>1</v>
      </c>
      <c r="AA210" s="38">
        <f>IF(L210&lt;ステ計算型!$A$20,0,1)</f>
        <v>0</v>
      </c>
      <c r="AB210" s="3">
        <f t="shared" si="43"/>
        <v>0</v>
      </c>
    </row>
    <row r="211" spans="1:28" ht="8.25" customHeight="1">
      <c r="A211" s="3">
        <f t="shared" si="39"/>
        <v>0</v>
      </c>
      <c r="B211" s="2">
        <f>ステ計算型!$B$2</f>
        <v>101</v>
      </c>
      <c r="C211" s="7">
        <f>VLOOKUP(B211,ポイント!$A$1:$D$43,4,FALSE)</f>
        <v>571</v>
      </c>
      <c r="D211" s="2">
        <f>ステ計算型!$B$4</f>
        <v>5</v>
      </c>
      <c r="E211" s="2">
        <f>ステ計算型!$B$6</f>
        <v>127</v>
      </c>
      <c r="F211" s="2">
        <f>ステ計算型!$B$8</f>
        <v>10</v>
      </c>
      <c r="G211" s="2">
        <f>ステ計算型!$B$9</f>
        <v>82</v>
      </c>
      <c r="H211" s="7">
        <f t="shared" si="45"/>
        <v>347</v>
      </c>
      <c r="I211" s="5">
        <f>ステ計算型!$K$3</f>
        <v>7390</v>
      </c>
      <c r="J211" s="5">
        <f>ステ計算型!$N$3</f>
        <v>66</v>
      </c>
      <c r="K211" s="5">
        <v>212</v>
      </c>
      <c r="L211" s="7">
        <f t="shared" si="46"/>
        <v>135</v>
      </c>
      <c r="M211" s="7">
        <f t="shared" si="40"/>
        <v>17501</v>
      </c>
      <c r="N211" s="2">
        <v>1</v>
      </c>
      <c r="O211" s="7">
        <f t="shared" si="38"/>
        <v>0.42</v>
      </c>
      <c r="P211" s="7">
        <f t="shared" si="47"/>
        <v>0.42</v>
      </c>
      <c r="Q211" s="2">
        <f>ステ計算型!$I$29</f>
        <v>1</v>
      </c>
      <c r="R211" s="2">
        <f>ステ計算型!$E$33</f>
        <v>0.2</v>
      </c>
      <c r="S211" s="7">
        <f t="shared" si="48"/>
        <v>4.944</v>
      </c>
      <c r="T211" s="2">
        <f>ステ計算型!$I$27</f>
        <v>1.1000000000000001</v>
      </c>
      <c r="U211" s="2">
        <f>ステ計算型!$J$29</f>
        <v>2</v>
      </c>
      <c r="V211" s="2">
        <f>ステ計算型!$F$32</f>
        <v>0.75</v>
      </c>
      <c r="W211" s="2">
        <f>ステ計算型!$G$34</f>
        <v>1</v>
      </c>
      <c r="X211" s="7">
        <f t="shared" si="44"/>
        <v>76710.243192000024</v>
      </c>
      <c r="Y211" s="7">
        <f t="shared" si="41"/>
        <v>400</v>
      </c>
      <c r="Z211" s="7">
        <f t="shared" si="42"/>
        <v>1</v>
      </c>
      <c r="AA211" s="38">
        <f>IF(L211&lt;ステ計算型!$A$20,0,1)</f>
        <v>0</v>
      </c>
      <c r="AB211" s="3">
        <f t="shared" si="43"/>
        <v>0</v>
      </c>
    </row>
    <row r="212" spans="1:28" ht="8.25" customHeight="1">
      <c r="A212" s="3">
        <f t="shared" si="39"/>
        <v>0</v>
      </c>
      <c r="B212" s="2">
        <f>ステ計算型!$B$2</f>
        <v>101</v>
      </c>
      <c r="C212" s="7">
        <f>VLOOKUP(B212,ポイント!$A$1:$D$43,4,FALSE)</f>
        <v>571</v>
      </c>
      <c r="D212" s="2">
        <f>ステ計算型!$B$4</f>
        <v>5</v>
      </c>
      <c r="E212" s="2">
        <f>ステ計算型!$B$6</f>
        <v>127</v>
      </c>
      <c r="F212" s="2">
        <f>ステ計算型!$B$8</f>
        <v>10</v>
      </c>
      <c r="G212" s="2">
        <f>ステ計算型!$B$9</f>
        <v>82</v>
      </c>
      <c r="H212" s="7">
        <f t="shared" si="45"/>
        <v>347</v>
      </c>
      <c r="I212" s="5">
        <f>ステ計算型!$K$3</f>
        <v>7390</v>
      </c>
      <c r="J212" s="5">
        <f>ステ計算型!$N$3</f>
        <v>66</v>
      </c>
      <c r="K212" s="5">
        <v>213</v>
      </c>
      <c r="L212" s="7">
        <f t="shared" si="46"/>
        <v>134</v>
      </c>
      <c r="M212" s="7">
        <f t="shared" si="40"/>
        <v>17426</v>
      </c>
      <c r="N212" s="2">
        <v>1</v>
      </c>
      <c r="O212" s="7">
        <f t="shared" si="38"/>
        <v>0.42</v>
      </c>
      <c r="P212" s="7">
        <f t="shared" si="47"/>
        <v>0.42</v>
      </c>
      <c r="Q212" s="2">
        <f>ステ計算型!$I$29</f>
        <v>1</v>
      </c>
      <c r="R212" s="2">
        <f>ステ計算型!$E$33</f>
        <v>0.2</v>
      </c>
      <c r="S212" s="7">
        <f t="shared" si="48"/>
        <v>4.9559999999999995</v>
      </c>
      <c r="T212" s="2">
        <f>ステ計算型!$I$27</f>
        <v>1.1000000000000001</v>
      </c>
      <c r="U212" s="2">
        <f>ステ計算型!$J$29</f>
        <v>2</v>
      </c>
      <c r="V212" s="2">
        <f>ステ計算型!$F$32</f>
        <v>0.75</v>
      </c>
      <c r="W212" s="2">
        <f>ステ計算型!$G$34</f>
        <v>1</v>
      </c>
      <c r="X212" s="7">
        <f t="shared" si="44"/>
        <v>76526.418408000012</v>
      </c>
      <c r="Y212" s="7">
        <f t="shared" si="41"/>
        <v>400</v>
      </c>
      <c r="Z212" s="7">
        <f t="shared" si="42"/>
        <v>1</v>
      </c>
      <c r="AA212" s="38">
        <f>IF(L212&lt;ステ計算型!$A$20,0,1)</f>
        <v>0</v>
      </c>
      <c r="AB212" s="3">
        <f t="shared" si="43"/>
        <v>0</v>
      </c>
    </row>
    <row r="213" spans="1:28" ht="8.25" customHeight="1">
      <c r="A213" s="3">
        <f t="shared" si="39"/>
        <v>0</v>
      </c>
      <c r="B213" s="2">
        <f>ステ計算型!$B$2</f>
        <v>101</v>
      </c>
      <c r="C213" s="7">
        <f>VLOOKUP(B213,ポイント!$A$1:$D$43,4,FALSE)</f>
        <v>571</v>
      </c>
      <c r="D213" s="2">
        <f>ステ計算型!$B$4</f>
        <v>5</v>
      </c>
      <c r="E213" s="2">
        <f>ステ計算型!$B$6</f>
        <v>127</v>
      </c>
      <c r="F213" s="2">
        <f>ステ計算型!$B$8</f>
        <v>10</v>
      </c>
      <c r="G213" s="2">
        <f>ステ計算型!$B$9</f>
        <v>82</v>
      </c>
      <c r="H213" s="7">
        <f t="shared" si="45"/>
        <v>347</v>
      </c>
      <c r="I213" s="5">
        <f>ステ計算型!$K$3</f>
        <v>7390</v>
      </c>
      <c r="J213" s="5">
        <f>ステ計算型!$N$3</f>
        <v>66</v>
      </c>
      <c r="K213" s="5">
        <v>214</v>
      </c>
      <c r="L213" s="7">
        <f t="shared" si="46"/>
        <v>133</v>
      </c>
      <c r="M213" s="7">
        <f t="shared" si="40"/>
        <v>17351</v>
      </c>
      <c r="N213" s="2">
        <v>1</v>
      </c>
      <c r="O213" s="7">
        <f t="shared" si="38"/>
        <v>0.42</v>
      </c>
      <c r="P213" s="7">
        <f t="shared" si="47"/>
        <v>0.42</v>
      </c>
      <c r="Q213" s="2">
        <f>ステ計算型!$I$29</f>
        <v>1</v>
      </c>
      <c r="R213" s="2">
        <f>ステ計算型!$E$33</f>
        <v>0.2</v>
      </c>
      <c r="S213" s="7">
        <f t="shared" si="48"/>
        <v>4.9680000000000009</v>
      </c>
      <c r="T213" s="2">
        <f>ステ計算型!$I$27</f>
        <v>1.1000000000000001</v>
      </c>
      <c r="U213" s="2">
        <f>ステ計算型!$J$29</f>
        <v>2</v>
      </c>
      <c r="V213" s="2">
        <f>ステ計算型!$F$32</f>
        <v>0.75</v>
      </c>
      <c r="W213" s="2">
        <f>ステ計算型!$G$34</f>
        <v>1</v>
      </c>
      <c r="X213" s="7">
        <f t="shared" si="44"/>
        <v>76341.346224000023</v>
      </c>
      <c r="Y213" s="7">
        <f t="shared" si="41"/>
        <v>400</v>
      </c>
      <c r="Z213" s="7">
        <f t="shared" si="42"/>
        <v>1</v>
      </c>
      <c r="AA213" s="38">
        <f>IF(L213&lt;ステ計算型!$A$20,0,1)</f>
        <v>0</v>
      </c>
      <c r="AB213" s="3">
        <f t="shared" si="43"/>
        <v>0</v>
      </c>
    </row>
    <row r="214" spans="1:28" ht="8.25" customHeight="1">
      <c r="A214" s="3">
        <f t="shared" si="39"/>
        <v>0</v>
      </c>
      <c r="B214" s="2">
        <f>ステ計算型!$B$2</f>
        <v>101</v>
      </c>
      <c r="C214" s="7">
        <f>VLOOKUP(B214,ポイント!$A$1:$D$43,4,FALSE)</f>
        <v>571</v>
      </c>
      <c r="D214" s="2">
        <f>ステ計算型!$B$4</f>
        <v>5</v>
      </c>
      <c r="E214" s="2">
        <f>ステ計算型!$B$6</f>
        <v>127</v>
      </c>
      <c r="F214" s="2">
        <f>ステ計算型!$B$8</f>
        <v>10</v>
      </c>
      <c r="G214" s="2">
        <f>ステ計算型!$B$9</f>
        <v>82</v>
      </c>
      <c r="H214" s="7">
        <f t="shared" si="45"/>
        <v>347</v>
      </c>
      <c r="I214" s="5">
        <f>ステ計算型!$K$3</f>
        <v>7390</v>
      </c>
      <c r="J214" s="5">
        <f>ステ計算型!$N$3</f>
        <v>66</v>
      </c>
      <c r="K214" s="5">
        <v>215</v>
      </c>
      <c r="L214" s="7">
        <f t="shared" si="46"/>
        <v>132</v>
      </c>
      <c r="M214" s="7">
        <f t="shared" si="40"/>
        <v>17276</v>
      </c>
      <c r="N214" s="2">
        <v>1</v>
      </c>
      <c r="O214" s="7">
        <f t="shared" si="38"/>
        <v>0.42</v>
      </c>
      <c r="P214" s="7">
        <f t="shared" si="47"/>
        <v>0.42</v>
      </c>
      <c r="Q214" s="2">
        <f>ステ計算型!$I$29</f>
        <v>1</v>
      </c>
      <c r="R214" s="2">
        <f>ステ計算型!$E$33</f>
        <v>0.2</v>
      </c>
      <c r="S214" s="7">
        <f t="shared" si="48"/>
        <v>4.9800000000000004</v>
      </c>
      <c r="T214" s="2">
        <f>ステ計算型!$I$27</f>
        <v>1.1000000000000001</v>
      </c>
      <c r="U214" s="2">
        <f>ステ計算型!$J$29</f>
        <v>2</v>
      </c>
      <c r="V214" s="2">
        <f>ステ計算型!$F$32</f>
        <v>0.75</v>
      </c>
      <c r="W214" s="2">
        <f>ステ計算型!$G$34</f>
        <v>1</v>
      </c>
      <c r="X214" s="7">
        <f t="shared" si="44"/>
        <v>76155.026639999996</v>
      </c>
      <c r="Y214" s="7">
        <f t="shared" si="41"/>
        <v>400</v>
      </c>
      <c r="Z214" s="7">
        <f t="shared" si="42"/>
        <v>1</v>
      </c>
      <c r="AA214" s="38">
        <f>IF(L214&lt;ステ計算型!$A$20,0,1)</f>
        <v>0</v>
      </c>
      <c r="AB214" s="3">
        <f t="shared" si="43"/>
        <v>0</v>
      </c>
    </row>
    <row r="215" spans="1:28" ht="8.25" customHeight="1">
      <c r="A215" s="3">
        <f t="shared" si="39"/>
        <v>0</v>
      </c>
      <c r="B215" s="2">
        <f>ステ計算型!$B$2</f>
        <v>101</v>
      </c>
      <c r="C215" s="7">
        <f>VLOOKUP(B215,ポイント!$A$1:$D$43,4,FALSE)</f>
        <v>571</v>
      </c>
      <c r="D215" s="2">
        <f>ステ計算型!$B$4</f>
        <v>5</v>
      </c>
      <c r="E215" s="2">
        <f>ステ計算型!$B$6</f>
        <v>127</v>
      </c>
      <c r="F215" s="2">
        <f>ステ計算型!$B$8</f>
        <v>10</v>
      </c>
      <c r="G215" s="2">
        <f>ステ計算型!$B$9</f>
        <v>82</v>
      </c>
      <c r="H215" s="7">
        <f t="shared" si="45"/>
        <v>347</v>
      </c>
      <c r="I215" s="5">
        <f>ステ計算型!$K$3</f>
        <v>7390</v>
      </c>
      <c r="J215" s="5">
        <f>ステ計算型!$N$3</f>
        <v>66</v>
      </c>
      <c r="K215" s="5">
        <v>216</v>
      </c>
      <c r="L215" s="7">
        <f t="shared" si="46"/>
        <v>131</v>
      </c>
      <c r="M215" s="7">
        <f t="shared" si="40"/>
        <v>17201</v>
      </c>
      <c r="N215" s="2">
        <v>1</v>
      </c>
      <c r="O215" s="7">
        <f t="shared" si="38"/>
        <v>0.42</v>
      </c>
      <c r="P215" s="7">
        <f t="shared" si="47"/>
        <v>0.42</v>
      </c>
      <c r="Q215" s="2">
        <f>ステ計算型!$I$29</f>
        <v>1</v>
      </c>
      <c r="R215" s="2">
        <f>ステ計算型!$E$33</f>
        <v>0.2</v>
      </c>
      <c r="S215" s="7">
        <f t="shared" si="48"/>
        <v>4.992</v>
      </c>
      <c r="T215" s="2">
        <f>ステ計算型!$I$27</f>
        <v>1.1000000000000001</v>
      </c>
      <c r="U215" s="2">
        <f>ステ計算型!$J$29</f>
        <v>2</v>
      </c>
      <c r="V215" s="2">
        <f>ステ計算型!$F$32</f>
        <v>0.75</v>
      </c>
      <c r="W215" s="2">
        <f>ステ計算型!$G$34</f>
        <v>1</v>
      </c>
      <c r="X215" s="7">
        <f t="shared" si="44"/>
        <v>75967.459655999992</v>
      </c>
      <c r="Y215" s="7">
        <f t="shared" si="41"/>
        <v>400</v>
      </c>
      <c r="Z215" s="7">
        <f t="shared" si="42"/>
        <v>1</v>
      </c>
      <c r="AA215" s="38">
        <f>IF(L215&lt;ステ計算型!$A$20,0,1)</f>
        <v>0</v>
      </c>
      <c r="AB215" s="3">
        <f t="shared" si="43"/>
        <v>0</v>
      </c>
    </row>
    <row r="216" spans="1:28" ht="8.25" customHeight="1">
      <c r="A216" s="3">
        <f t="shared" si="39"/>
        <v>0</v>
      </c>
      <c r="B216" s="2">
        <f>ステ計算型!$B$2</f>
        <v>101</v>
      </c>
      <c r="C216" s="7">
        <f>VLOOKUP(B216,ポイント!$A$1:$D$43,4,FALSE)</f>
        <v>571</v>
      </c>
      <c r="D216" s="2">
        <f>ステ計算型!$B$4</f>
        <v>5</v>
      </c>
      <c r="E216" s="2">
        <f>ステ計算型!$B$6</f>
        <v>127</v>
      </c>
      <c r="F216" s="2">
        <f>ステ計算型!$B$8</f>
        <v>10</v>
      </c>
      <c r="G216" s="2">
        <f>ステ計算型!$B$9</f>
        <v>82</v>
      </c>
      <c r="H216" s="7">
        <f t="shared" si="45"/>
        <v>347</v>
      </c>
      <c r="I216" s="5">
        <f>ステ計算型!$K$3</f>
        <v>7390</v>
      </c>
      <c r="J216" s="5">
        <f>ステ計算型!$N$3</f>
        <v>66</v>
      </c>
      <c r="K216" s="5">
        <v>217</v>
      </c>
      <c r="L216" s="7">
        <f t="shared" si="46"/>
        <v>130</v>
      </c>
      <c r="M216" s="7">
        <f t="shared" si="40"/>
        <v>17127</v>
      </c>
      <c r="N216" s="2">
        <v>1</v>
      </c>
      <c r="O216" s="7">
        <f t="shared" si="38"/>
        <v>0.42</v>
      </c>
      <c r="P216" s="7">
        <f t="shared" si="47"/>
        <v>0.42</v>
      </c>
      <c r="Q216" s="2">
        <f>ステ計算型!$I$29</f>
        <v>1</v>
      </c>
      <c r="R216" s="2">
        <f>ステ計算型!$E$33</f>
        <v>0.2</v>
      </c>
      <c r="S216" s="7">
        <f t="shared" si="48"/>
        <v>5.0039999999999996</v>
      </c>
      <c r="T216" s="2">
        <f>ステ計算型!$I$27</f>
        <v>1.1000000000000001</v>
      </c>
      <c r="U216" s="2">
        <f>ステ計算型!$J$29</f>
        <v>2</v>
      </c>
      <c r="V216" s="2">
        <f>ステ計算型!$F$32</f>
        <v>0.75</v>
      </c>
      <c r="W216" s="2">
        <f>ステ計算型!$G$34</f>
        <v>1</v>
      </c>
      <c r="X216" s="7">
        <f t="shared" si="44"/>
        <v>75783.070043999993</v>
      </c>
      <c r="Y216" s="7">
        <f t="shared" si="41"/>
        <v>400</v>
      </c>
      <c r="Z216" s="7">
        <f t="shared" si="42"/>
        <v>1</v>
      </c>
      <c r="AA216" s="38">
        <f>IF(L216&lt;ステ計算型!$A$20,0,1)</f>
        <v>0</v>
      </c>
      <c r="AB216" s="3">
        <f t="shared" si="43"/>
        <v>0</v>
      </c>
    </row>
    <row r="217" spans="1:28" ht="8.25" customHeight="1">
      <c r="A217" s="3">
        <f t="shared" si="39"/>
        <v>0</v>
      </c>
      <c r="B217" s="2">
        <f>ステ計算型!$B$2</f>
        <v>101</v>
      </c>
      <c r="C217" s="7">
        <f>VLOOKUP(B217,ポイント!$A$1:$D$43,4,FALSE)</f>
        <v>571</v>
      </c>
      <c r="D217" s="2">
        <f>ステ計算型!$B$4</f>
        <v>5</v>
      </c>
      <c r="E217" s="2">
        <f>ステ計算型!$B$6</f>
        <v>127</v>
      </c>
      <c r="F217" s="2">
        <f>ステ計算型!$B$8</f>
        <v>10</v>
      </c>
      <c r="G217" s="2">
        <f>ステ計算型!$B$9</f>
        <v>82</v>
      </c>
      <c r="H217" s="7">
        <f t="shared" si="45"/>
        <v>347</v>
      </c>
      <c r="I217" s="5">
        <f>ステ計算型!$K$3</f>
        <v>7390</v>
      </c>
      <c r="J217" s="5">
        <f>ステ計算型!$N$3</f>
        <v>66</v>
      </c>
      <c r="K217" s="5">
        <v>218</v>
      </c>
      <c r="L217" s="7">
        <f t="shared" si="46"/>
        <v>129</v>
      </c>
      <c r="M217" s="7">
        <f t="shared" si="40"/>
        <v>17052</v>
      </c>
      <c r="N217" s="2">
        <v>1</v>
      </c>
      <c r="O217" s="7">
        <f t="shared" si="38"/>
        <v>0.42</v>
      </c>
      <c r="P217" s="7">
        <f t="shared" si="47"/>
        <v>0.42</v>
      </c>
      <c r="Q217" s="2">
        <f>ステ計算型!$I$29</f>
        <v>1</v>
      </c>
      <c r="R217" s="2">
        <f>ステ計算型!$E$33</f>
        <v>0.2</v>
      </c>
      <c r="S217" s="7">
        <f t="shared" si="48"/>
        <v>5.0159999999999991</v>
      </c>
      <c r="T217" s="2">
        <f>ステ計算型!$I$27</f>
        <v>1.1000000000000001</v>
      </c>
      <c r="U217" s="2">
        <f>ステ計算型!$J$29</f>
        <v>2</v>
      </c>
      <c r="V217" s="2">
        <f>ステ計算型!$F$32</f>
        <v>0.75</v>
      </c>
      <c r="W217" s="2">
        <f>ステ計算型!$G$34</f>
        <v>1</v>
      </c>
      <c r="X217" s="7">
        <f t="shared" si="44"/>
        <v>75593.016576000009</v>
      </c>
      <c r="Y217" s="7">
        <f t="shared" si="41"/>
        <v>400</v>
      </c>
      <c r="Z217" s="7">
        <f t="shared" si="42"/>
        <v>1</v>
      </c>
      <c r="AA217" s="38">
        <f>IF(L217&lt;ステ計算型!$A$20,0,1)</f>
        <v>0</v>
      </c>
      <c r="AB217" s="3">
        <f t="shared" si="43"/>
        <v>0</v>
      </c>
    </row>
    <row r="218" spans="1:28" ht="8.25" customHeight="1">
      <c r="A218" s="3">
        <f t="shared" si="39"/>
        <v>0</v>
      </c>
      <c r="B218" s="2">
        <f>ステ計算型!$B$2</f>
        <v>101</v>
      </c>
      <c r="C218" s="7">
        <f>VLOOKUP(B218,ポイント!$A$1:$D$43,4,FALSE)</f>
        <v>571</v>
      </c>
      <c r="D218" s="2">
        <f>ステ計算型!$B$4</f>
        <v>5</v>
      </c>
      <c r="E218" s="2">
        <f>ステ計算型!$B$6</f>
        <v>127</v>
      </c>
      <c r="F218" s="2">
        <f>ステ計算型!$B$8</f>
        <v>10</v>
      </c>
      <c r="G218" s="2">
        <f>ステ計算型!$B$9</f>
        <v>82</v>
      </c>
      <c r="H218" s="7">
        <f t="shared" si="45"/>
        <v>347</v>
      </c>
      <c r="I218" s="5">
        <f>ステ計算型!$K$3</f>
        <v>7390</v>
      </c>
      <c r="J218" s="5">
        <f>ステ計算型!$N$3</f>
        <v>66</v>
      </c>
      <c r="K218" s="5">
        <v>219</v>
      </c>
      <c r="L218" s="7">
        <f t="shared" si="46"/>
        <v>128</v>
      </c>
      <c r="M218" s="7">
        <f t="shared" si="40"/>
        <v>16977</v>
      </c>
      <c r="N218" s="2">
        <v>1</v>
      </c>
      <c r="O218" s="7">
        <f t="shared" si="38"/>
        <v>0.43</v>
      </c>
      <c r="P218" s="7">
        <f t="shared" si="47"/>
        <v>0.43</v>
      </c>
      <c r="Q218" s="2">
        <f>ステ計算型!$I$29</f>
        <v>1</v>
      </c>
      <c r="R218" s="2">
        <f>ステ計算型!$E$33</f>
        <v>0.2</v>
      </c>
      <c r="S218" s="7">
        <f t="shared" si="48"/>
        <v>5.0279999999999996</v>
      </c>
      <c r="T218" s="2">
        <f>ステ計算型!$I$27</f>
        <v>1.1000000000000001</v>
      </c>
      <c r="U218" s="2">
        <f>ステ計算型!$J$29</f>
        <v>2</v>
      </c>
      <c r="V218" s="2">
        <f>ステ計算型!$F$32</f>
        <v>0.75</v>
      </c>
      <c r="W218" s="2">
        <f>ステ計算型!$G$34</f>
        <v>1</v>
      </c>
      <c r="X218" s="7">
        <f t="shared" si="44"/>
        <v>76530.041081999996</v>
      </c>
      <c r="Y218" s="7">
        <f t="shared" si="41"/>
        <v>400</v>
      </c>
      <c r="Z218" s="7">
        <f t="shared" si="42"/>
        <v>1</v>
      </c>
      <c r="AA218" s="38">
        <f>IF(L218&lt;ステ計算型!$A$20,0,1)</f>
        <v>0</v>
      </c>
      <c r="AB218" s="3">
        <f t="shared" si="43"/>
        <v>0</v>
      </c>
    </row>
    <row r="219" spans="1:28" ht="8.25" customHeight="1">
      <c r="A219" s="3">
        <f t="shared" si="39"/>
        <v>0</v>
      </c>
      <c r="B219" s="2">
        <f>ステ計算型!$B$2</f>
        <v>101</v>
      </c>
      <c r="C219" s="7">
        <f>VLOOKUP(B219,ポイント!$A$1:$D$43,4,FALSE)</f>
        <v>571</v>
      </c>
      <c r="D219" s="2">
        <f>ステ計算型!$B$4</f>
        <v>5</v>
      </c>
      <c r="E219" s="2">
        <f>ステ計算型!$B$6</f>
        <v>127</v>
      </c>
      <c r="F219" s="2">
        <f>ステ計算型!$B$8</f>
        <v>10</v>
      </c>
      <c r="G219" s="2">
        <f>ステ計算型!$B$9</f>
        <v>82</v>
      </c>
      <c r="H219" s="7">
        <f t="shared" si="45"/>
        <v>347</v>
      </c>
      <c r="I219" s="5">
        <f>ステ計算型!$K$3</f>
        <v>7390</v>
      </c>
      <c r="J219" s="5">
        <f>ステ計算型!$N$3</f>
        <v>66</v>
      </c>
      <c r="K219" s="5">
        <v>220</v>
      </c>
      <c r="L219" s="7">
        <f t="shared" si="46"/>
        <v>127</v>
      </c>
      <c r="M219" s="7">
        <f t="shared" si="40"/>
        <v>16902</v>
      </c>
      <c r="N219" s="2">
        <v>1</v>
      </c>
      <c r="O219" s="7">
        <f t="shared" si="38"/>
        <v>0.43</v>
      </c>
      <c r="P219" s="7">
        <f t="shared" si="47"/>
        <v>0.43</v>
      </c>
      <c r="Q219" s="2">
        <f>ステ計算型!$I$29</f>
        <v>1</v>
      </c>
      <c r="R219" s="2">
        <f>ステ計算型!$E$33</f>
        <v>0.2</v>
      </c>
      <c r="S219" s="7">
        <f t="shared" si="48"/>
        <v>5.04</v>
      </c>
      <c r="T219" s="2">
        <f>ステ計算型!$I$27</f>
        <v>1.1000000000000001</v>
      </c>
      <c r="U219" s="2">
        <f>ステ計算型!$J$29</f>
        <v>2</v>
      </c>
      <c r="V219" s="2">
        <f>ステ計算型!$F$32</f>
        <v>0.75</v>
      </c>
      <c r="W219" s="2">
        <f>ステ計算型!$G$34</f>
        <v>1</v>
      </c>
      <c r="X219" s="7">
        <f t="shared" si="44"/>
        <v>76335.854759999987</v>
      </c>
      <c r="Y219" s="7">
        <f t="shared" si="41"/>
        <v>400</v>
      </c>
      <c r="Z219" s="7">
        <f t="shared" si="42"/>
        <v>1</v>
      </c>
      <c r="AA219" s="38">
        <f>IF(L219&lt;ステ計算型!$A$20,0,1)</f>
        <v>0</v>
      </c>
      <c r="AB219" s="3">
        <f t="shared" si="43"/>
        <v>0</v>
      </c>
    </row>
    <row r="220" spans="1:28" ht="8.25" customHeight="1">
      <c r="A220" s="3">
        <f t="shared" si="39"/>
        <v>0</v>
      </c>
      <c r="B220" s="2">
        <f>ステ計算型!$B$2</f>
        <v>101</v>
      </c>
      <c r="C220" s="7">
        <f>VLOOKUP(B220,ポイント!$A$1:$D$43,4,FALSE)</f>
        <v>571</v>
      </c>
      <c r="D220" s="2">
        <f>ステ計算型!$B$4</f>
        <v>5</v>
      </c>
      <c r="E220" s="2">
        <f>ステ計算型!$B$6</f>
        <v>127</v>
      </c>
      <c r="F220" s="2">
        <f>ステ計算型!$B$8</f>
        <v>10</v>
      </c>
      <c r="G220" s="2">
        <f>ステ計算型!$B$9</f>
        <v>82</v>
      </c>
      <c r="H220" s="7">
        <f t="shared" si="45"/>
        <v>347</v>
      </c>
      <c r="I220" s="5">
        <f>ステ計算型!$K$3</f>
        <v>7390</v>
      </c>
      <c r="J220" s="5">
        <f>ステ計算型!$N$3</f>
        <v>66</v>
      </c>
      <c r="K220" s="5">
        <v>221</v>
      </c>
      <c r="L220" s="7">
        <f t="shared" si="46"/>
        <v>126</v>
      </c>
      <c r="M220" s="7">
        <f t="shared" si="40"/>
        <v>16827</v>
      </c>
      <c r="N220" s="2">
        <v>1</v>
      </c>
      <c r="O220" s="7">
        <f t="shared" si="38"/>
        <v>0.43</v>
      </c>
      <c r="P220" s="7">
        <f t="shared" si="47"/>
        <v>0.43</v>
      </c>
      <c r="Q220" s="2">
        <f>ステ計算型!$I$29</f>
        <v>1</v>
      </c>
      <c r="R220" s="2">
        <f>ステ計算型!$E$33</f>
        <v>0.2</v>
      </c>
      <c r="S220" s="7">
        <f t="shared" si="48"/>
        <v>5.0519999999999996</v>
      </c>
      <c r="T220" s="2">
        <f>ステ計算型!$I$27</f>
        <v>1.1000000000000001</v>
      </c>
      <c r="U220" s="2">
        <f>ステ計算型!$J$29</f>
        <v>2</v>
      </c>
      <c r="V220" s="2">
        <f>ステ計算型!$F$32</f>
        <v>0.75</v>
      </c>
      <c r="W220" s="2">
        <f>ステ計算型!$G$34</f>
        <v>1</v>
      </c>
      <c r="X220" s="7">
        <f t="shared" si="44"/>
        <v>76140.391338000001</v>
      </c>
      <c r="Y220" s="7">
        <f t="shared" si="41"/>
        <v>400</v>
      </c>
      <c r="Z220" s="7">
        <f t="shared" si="42"/>
        <v>1</v>
      </c>
      <c r="AA220" s="38">
        <f>IF(L220&lt;ステ計算型!$A$20,0,1)</f>
        <v>0</v>
      </c>
      <c r="AB220" s="3">
        <f t="shared" si="43"/>
        <v>0</v>
      </c>
    </row>
    <row r="221" spans="1:28" ht="8.25" customHeight="1">
      <c r="A221" s="3">
        <f t="shared" si="39"/>
        <v>0</v>
      </c>
      <c r="B221" s="2">
        <f>ステ計算型!$B$2</f>
        <v>101</v>
      </c>
      <c r="C221" s="7">
        <f>VLOOKUP(B221,ポイント!$A$1:$D$43,4,FALSE)</f>
        <v>571</v>
      </c>
      <c r="D221" s="2">
        <f>ステ計算型!$B$4</f>
        <v>5</v>
      </c>
      <c r="E221" s="2">
        <f>ステ計算型!$B$6</f>
        <v>127</v>
      </c>
      <c r="F221" s="2">
        <f>ステ計算型!$B$8</f>
        <v>10</v>
      </c>
      <c r="G221" s="2">
        <f>ステ計算型!$B$9</f>
        <v>82</v>
      </c>
      <c r="H221" s="7">
        <f t="shared" si="45"/>
        <v>347</v>
      </c>
      <c r="I221" s="5">
        <f>ステ計算型!$K$3</f>
        <v>7390</v>
      </c>
      <c r="J221" s="5">
        <f>ステ計算型!$N$3</f>
        <v>66</v>
      </c>
      <c r="K221" s="5">
        <v>222</v>
      </c>
      <c r="L221" s="7">
        <f t="shared" si="46"/>
        <v>125</v>
      </c>
      <c r="M221" s="7">
        <f t="shared" si="40"/>
        <v>16752</v>
      </c>
      <c r="N221" s="2">
        <v>1</v>
      </c>
      <c r="O221" s="7">
        <f t="shared" si="38"/>
        <v>0.43</v>
      </c>
      <c r="P221" s="7">
        <f t="shared" si="47"/>
        <v>0.43</v>
      </c>
      <c r="Q221" s="2">
        <f>ステ計算型!$I$29</f>
        <v>1</v>
      </c>
      <c r="R221" s="2">
        <f>ステ計算型!$E$33</f>
        <v>0.2</v>
      </c>
      <c r="S221" s="7">
        <f t="shared" si="48"/>
        <v>5.0640000000000009</v>
      </c>
      <c r="T221" s="2">
        <f>ステ計算型!$I$27</f>
        <v>1.1000000000000001</v>
      </c>
      <c r="U221" s="2">
        <f>ステ計算型!$J$29</f>
        <v>2</v>
      </c>
      <c r="V221" s="2">
        <f>ステ計算型!$F$32</f>
        <v>0.75</v>
      </c>
      <c r="W221" s="2">
        <f>ステ計算型!$G$34</f>
        <v>1</v>
      </c>
      <c r="X221" s="7">
        <f t="shared" si="44"/>
        <v>75943.650816000008</v>
      </c>
      <c r="Y221" s="7">
        <f t="shared" si="41"/>
        <v>400</v>
      </c>
      <c r="Z221" s="7">
        <f t="shared" si="42"/>
        <v>1</v>
      </c>
      <c r="AA221" s="38">
        <f>IF(L221&lt;ステ計算型!$A$20,0,1)</f>
        <v>0</v>
      </c>
      <c r="AB221" s="3">
        <f t="shared" si="43"/>
        <v>0</v>
      </c>
    </row>
    <row r="222" spans="1:28" ht="8.25" customHeight="1">
      <c r="A222" s="3">
        <f t="shared" si="39"/>
        <v>0</v>
      </c>
      <c r="B222" s="2">
        <f>ステ計算型!$B$2</f>
        <v>101</v>
      </c>
      <c r="C222" s="7">
        <f>VLOOKUP(B222,ポイント!$A$1:$D$43,4,FALSE)</f>
        <v>571</v>
      </c>
      <c r="D222" s="2">
        <f>ステ計算型!$B$4</f>
        <v>5</v>
      </c>
      <c r="E222" s="2">
        <f>ステ計算型!$B$6</f>
        <v>127</v>
      </c>
      <c r="F222" s="2">
        <f>ステ計算型!$B$8</f>
        <v>10</v>
      </c>
      <c r="G222" s="2">
        <f>ステ計算型!$B$9</f>
        <v>82</v>
      </c>
      <c r="H222" s="7">
        <f t="shared" si="45"/>
        <v>347</v>
      </c>
      <c r="I222" s="5">
        <f>ステ計算型!$K$3</f>
        <v>7390</v>
      </c>
      <c r="J222" s="5">
        <f>ステ計算型!$N$3</f>
        <v>66</v>
      </c>
      <c r="K222" s="5">
        <v>223</v>
      </c>
      <c r="L222" s="7">
        <f t="shared" si="46"/>
        <v>124</v>
      </c>
      <c r="M222" s="7">
        <f t="shared" si="40"/>
        <v>16677</v>
      </c>
      <c r="N222" s="2">
        <v>1</v>
      </c>
      <c r="O222" s="7">
        <f t="shared" si="38"/>
        <v>0.43</v>
      </c>
      <c r="P222" s="7">
        <f t="shared" si="47"/>
        <v>0.43</v>
      </c>
      <c r="Q222" s="2">
        <f>ステ計算型!$I$29</f>
        <v>1</v>
      </c>
      <c r="R222" s="2">
        <f>ステ計算型!$E$33</f>
        <v>0.2</v>
      </c>
      <c r="S222" s="7">
        <f t="shared" si="48"/>
        <v>5.0760000000000005</v>
      </c>
      <c r="T222" s="2">
        <f>ステ計算型!$I$27</f>
        <v>1.1000000000000001</v>
      </c>
      <c r="U222" s="2">
        <f>ステ計算型!$J$29</f>
        <v>2</v>
      </c>
      <c r="V222" s="2">
        <f>ステ計算型!$F$32</f>
        <v>0.75</v>
      </c>
      <c r="W222" s="2">
        <f>ステ計算型!$G$34</f>
        <v>1</v>
      </c>
      <c r="X222" s="7">
        <f t="shared" si="44"/>
        <v>75745.633194000009</v>
      </c>
      <c r="Y222" s="7">
        <f t="shared" si="41"/>
        <v>400</v>
      </c>
      <c r="Z222" s="7">
        <f t="shared" si="42"/>
        <v>1</v>
      </c>
      <c r="AA222" s="38">
        <f>IF(L222&lt;ステ計算型!$A$20,0,1)</f>
        <v>0</v>
      </c>
      <c r="AB222" s="3">
        <f t="shared" si="43"/>
        <v>0</v>
      </c>
    </row>
    <row r="223" spans="1:28" ht="8.25" customHeight="1">
      <c r="A223" s="3">
        <f t="shared" si="39"/>
        <v>0</v>
      </c>
      <c r="B223" s="2">
        <f>ステ計算型!$B$2</f>
        <v>101</v>
      </c>
      <c r="C223" s="7">
        <f>VLOOKUP(B223,ポイント!$A$1:$D$43,4,FALSE)</f>
        <v>571</v>
      </c>
      <c r="D223" s="2">
        <f>ステ計算型!$B$4</f>
        <v>5</v>
      </c>
      <c r="E223" s="2">
        <f>ステ計算型!$B$6</f>
        <v>127</v>
      </c>
      <c r="F223" s="2">
        <f>ステ計算型!$B$8</f>
        <v>10</v>
      </c>
      <c r="G223" s="2">
        <f>ステ計算型!$B$9</f>
        <v>82</v>
      </c>
      <c r="H223" s="7">
        <f t="shared" si="45"/>
        <v>347</v>
      </c>
      <c r="I223" s="5">
        <f>ステ計算型!$K$3</f>
        <v>7390</v>
      </c>
      <c r="J223" s="5">
        <f>ステ計算型!$N$3</f>
        <v>66</v>
      </c>
      <c r="K223" s="5">
        <v>224</v>
      </c>
      <c r="L223" s="7">
        <f t="shared" si="46"/>
        <v>123</v>
      </c>
      <c r="M223" s="7">
        <f t="shared" si="40"/>
        <v>16602</v>
      </c>
      <c r="N223" s="2">
        <v>1</v>
      </c>
      <c r="O223" s="7">
        <f t="shared" si="38"/>
        <v>0.43</v>
      </c>
      <c r="P223" s="7">
        <f t="shared" si="47"/>
        <v>0.43</v>
      </c>
      <c r="Q223" s="2">
        <f>ステ計算型!$I$29</f>
        <v>1</v>
      </c>
      <c r="R223" s="2">
        <f>ステ計算型!$E$33</f>
        <v>0.2</v>
      </c>
      <c r="S223" s="7">
        <f t="shared" si="48"/>
        <v>5.0880000000000001</v>
      </c>
      <c r="T223" s="2">
        <f>ステ計算型!$I$27</f>
        <v>1.1000000000000001</v>
      </c>
      <c r="U223" s="2">
        <f>ステ計算型!$J$29</f>
        <v>2</v>
      </c>
      <c r="V223" s="2">
        <f>ステ計算型!$F$32</f>
        <v>0.75</v>
      </c>
      <c r="W223" s="2">
        <f>ステ計算型!$G$34</f>
        <v>1</v>
      </c>
      <c r="X223" s="7">
        <f t="shared" si="44"/>
        <v>75546.338472000003</v>
      </c>
      <c r="Y223" s="7">
        <f t="shared" si="41"/>
        <v>400</v>
      </c>
      <c r="Z223" s="7">
        <f t="shared" si="42"/>
        <v>1</v>
      </c>
      <c r="AA223" s="38">
        <f>IF(L223&lt;ステ計算型!$A$20,0,1)</f>
        <v>0</v>
      </c>
      <c r="AB223" s="3">
        <f t="shared" si="43"/>
        <v>0</v>
      </c>
    </row>
    <row r="224" spans="1:28" ht="8.25" customHeight="1">
      <c r="A224" s="3">
        <f t="shared" si="39"/>
        <v>0</v>
      </c>
      <c r="B224" s="2">
        <f>ステ計算型!$B$2</f>
        <v>101</v>
      </c>
      <c r="C224" s="7">
        <f>VLOOKUP(B224,ポイント!$A$1:$D$43,4,FALSE)</f>
        <v>571</v>
      </c>
      <c r="D224" s="2">
        <f>ステ計算型!$B$4</f>
        <v>5</v>
      </c>
      <c r="E224" s="2">
        <f>ステ計算型!$B$6</f>
        <v>127</v>
      </c>
      <c r="F224" s="2">
        <f>ステ計算型!$B$8</f>
        <v>10</v>
      </c>
      <c r="G224" s="2">
        <f>ステ計算型!$B$9</f>
        <v>82</v>
      </c>
      <c r="H224" s="7">
        <f t="shared" si="45"/>
        <v>347</v>
      </c>
      <c r="I224" s="5">
        <f>ステ計算型!$K$3</f>
        <v>7390</v>
      </c>
      <c r="J224" s="5">
        <f>ステ計算型!$N$3</f>
        <v>66</v>
      </c>
      <c r="K224" s="5">
        <v>225</v>
      </c>
      <c r="L224" s="7">
        <f t="shared" si="46"/>
        <v>122</v>
      </c>
      <c r="M224" s="7">
        <f t="shared" si="40"/>
        <v>16527</v>
      </c>
      <c r="N224" s="2">
        <v>1</v>
      </c>
      <c r="O224" s="7">
        <f t="shared" si="38"/>
        <v>0.43</v>
      </c>
      <c r="P224" s="7">
        <f t="shared" si="47"/>
        <v>0.43</v>
      </c>
      <c r="Q224" s="2">
        <f>ステ計算型!$I$29</f>
        <v>1</v>
      </c>
      <c r="R224" s="2">
        <f>ステ計算型!$E$33</f>
        <v>0.2</v>
      </c>
      <c r="S224" s="7">
        <f t="shared" si="48"/>
        <v>5.0999999999999996</v>
      </c>
      <c r="T224" s="2">
        <f>ステ計算型!$I$27</f>
        <v>1.1000000000000001</v>
      </c>
      <c r="U224" s="2">
        <f>ステ計算型!$J$29</f>
        <v>2</v>
      </c>
      <c r="V224" s="2">
        <f>ステ計算型!$F$32</f>
        <v>0.75</v>
      </c>
      <c r="W224" s="2">
        <f>ステ計算型!$G$34</f>
        <v>1</v>
      </c>
      <c r="X224" s="7">
        <f t="shared" si="44"/>
        <v>75345.766649999976</v>
      </c>
      <c r="Y224" s="7">
        <f t="shared" si="41"/>
        <v>400</v>
      </c>
      <c r="Z224" s="7">
        <f t="shared" si="42"/>
        <v>1</v>
      </c>
      <c r="AA224" s="38">
        <f>IF(L224&lt;ステ計算型!$A$20,0,1)</f>
        <v>0</v>
      </c>
      <c r="AB224" s="3">
        <f t="shared" si="43"/>
        <v>0</v>
      </c>
    </row>
    <row r="225" spans="1:28" ht="8.25" customHeight="1">
      <c r="A225" s="3">
        <f t="shared" si="39"/>
        <v>0</v>
      </c>
      <c r="B225" s="2">
        <f>ステ計算型!$B$2</f>
        <v>101</v>
      </c>
      <c r="C225" s="7">
        <f>VLOOKUP(B225,ポイント!$A$1:$D$43,4,FALSE)</f>
        <v>571</v>
      </c>
      <c r="D225" s="2">
        <f>ステ計算型!$B$4</f>
        <v>5</v>
      </c>
      <c r="E225" s="2">
        <f>ステ計算型!$B$6</f>
        <v>127</v>
      </c>
      <c r="F225" s="2">
        <f>ステ計算型!$B$8</f>
        <v>10</v>
      </c>
      <c r="G225" s="2">
        <f>ステ計算型!$B$9</f>
        <v>82</v>
      </c>
      <c r="H225" s="7">
        <f t="shared" si="45"/>
        <v>347</v>
      </c>
      <c r="I225" s="5">
        <f>ステ計算型!$K$3</f>
        <v>7390</v>
      </c>
      <c r="J225" s="5">
        <f>ステ計算型!$N$3</f>
        <v>66</v>
      </c>
      <c r="K225" s="5">
        <v>226</v>
      </c>
      <c r="L225" s="7">
        <f t="shared" si="46"/>
        <v>121</v>
      </c>
      <c r="M225" s="7">
        <f t="shared" si="40"/>
        <v>16452</v>
      </c>
      <c r="N225" s="2">
        <v>1</v>
      </c>
      <c r="O225" s="7">
        <f t="shared" si="38"/>
        <v>0.44</v>
      </c>
      <c r="P225" s="7">
        <f t="shared" si="47"/>
        <v>0.44</v>
      </c>
      <c r="Q225" s="2">
        <f>ステ計算型!$I$29</f>
        <v>1</v>
      </c>
      <c r="R225" s="2">
        <f>ステ計算型!$E$33</f>
        <v>0.2</v>
      </c>
      <c r="S225" s="7">
        <f t="shared" si="48"/>
        <v>5.1119999999999992</v>
      </c>
      <c r="T225" s="2">
        <f>ステ計算型!$I$27</f>
        <v>1.1000000000000001</v>
      </c>
      <c r="U225" s="2">
        <f>ステ計算型!$J$29</f>
        <v>2</v>
      </c>
      <c r="V225" s="2">
        <f>ステ計算型!$F$32</f>
        <v>0.75</v>
      </c>
      <c r="W225" s="2">
        <f>ステ計算型!$G$34</f>
        <v>1</v>
      </c>
      <c r="X225" s="7">
        <f t="shared" si="44"/>
        <v>76260.153023999999</v>
      </c>
      <c r="Y225" s="7">
        <f t="shared" si="41"/>
        <v>400</v>
      </c>
      <c r="Z225" s="7">
        <f t="shared" si="42"/>
        <v>1</v>
      </c>
      <c r="AA225" s="38">
        <f>IF(L225&lt;ステ計算型!$A$20,0,1)</f>
        <v>0</v>
      </c>
      <c r="AB225" s="3">
        <f t="shared" si="43"/>
        <v>0</v>
      </c>
    </row>
    <row r="226" spans="1:28" ht="8.25" customHeight="1">
      <c r="A226" s="3">
        <f t="shared" si="39"/>
        <v>0</v>
      </c>
      <c r="B226" s="2">
        <f>ステ計算型!$B$2</f>
        <v>101</v>
      </c>
      <c r="C226" s="7">
        <f>VLOOKUP(B226,ポイント!$A$1:$D$43,4,FALSE)</f>
        <v>571</v>
      </c>
      <c r="D226" s="2">
        <f>ステ計算型!$B$4</f>
        <v>5</v>
      </c>
      <c r="E226" s="2">
        <f>ステ計算型!$B$6</f>
        <v>127</v>
      </c>
      <c r="F226" s="2">
        <f>ステ計算型!$B$8</f>
        <v>10</v>
      </c>
      <c r="G226" s="2">
        <f>ステ計算型!$B$9</f>
        <v>82</v>
      </c>
      <c r="H226" s="7">
        <f t="shared" si="45"/>
        <v>347</v>
      </c>
      <c r="I226" s="5">
        <f>ステ計算型!$K$3</f>
        <v>7390</v>
      </c>
      <c r="J226" s="5">
        <f>ステ計算型!$N$3</f>
        <v>66</v>
      </c>
      <c r="K226" s="5">
        <v>227</v>
      </c>
      <c r="L226" s="7">
        <f t="shared" si="46"/>
        <v>120</v>
      </c>
      <c r="M226" s="7">
        <f t="shared" si="40"/>
        <v>16378</v>
      </c>
      <c r="N226" s="2">
        <v>1</v>
      </c>
      <c r="O226" s="7">
        <f t="shared" si="38"/>
        <v>0.44</v>
      </c>
      <c r="P226" s="7">
        <f t="shared" si="47"/>
        <v>0.44</v>
      </c>
      <c r="Q226" s="2">
        <f>ステ計算型!$I$29</f>
        <v>1</v>
      </c>
      <c r="R226" s="2">
        <f>ステ計算型!$E$33</f>
        <v>0.2</v>
      </c>
      <c r="S226" s="7">
        <f t="shared" si="48"/>
        <v>5.1239999999999997</v>
      </c>
      <c r="T226" s="2">
        <f>ステ計算型!$I$27</f>
        <v>1.1000000000000001</v>
      </c>
      <c r="U226" s="2">
        <f>ステ計算型!$J$29</f>
        <v>2</v>
      </c>
      <c r="V226" s="2">
        <f>ステ計算型!$F$32</f>
        <v>0.75</v>
      </c>
      <c r="W226" s="2">
        <f>ステ計算型!$G$34</f>
        <v>1</v>
      </c>
      <c r="X226" s="7">
        <f t="shared" si="44"/>
        <v>76059.825071999992</v>
      </c>
      <c r="Y226" s="7">
        <f t="shared" si="41"/>
        <v>400</v>
      </c>
      <c r="Z226" s="7">
        <f t="shared" si="42"/>
        <v>1</v>
      </c>
      <c r="AA226" s="38">
        <f>IF(L226&lt;ステ計算型!$A$20,0,1)</f>
        <v>0</v>
      </c>
      <c r="AB226" s="3">
        <f t="shared" si="43"/>
        <v>0</v>
      </c>
    </row>
    <row r="227" spans="1:28" ht="8.25" customHeight="1">
      <c r="A227" s="3">
        <f t="shared" si="39"/>
        <v>0</v>
      </c>
      <c r="B227" s="2">
        <f>ステ計算型!$B$2</f>
        <v>101</v>
      </c>
      <c r="C227" s="7">
        <f>VLOOKUP(B227,ポイント!$A$1:$D$43,4,FALSE)</f>
        <v>571</v>
      </c>
      <c r="D227" s="2">
        <f>ステ計算型!$B$4</f>
        <v>5</v>
      </c>
      <c r="E227" s="2">
        <f>ステ計算型!$B$6</f>
        <v>127</v>
      </c>
      <c r="F227" s="2">
        <f>ステ計算型!$B$8</f>
        <v>10</v>
      </c>
      <c r="G227" s="2">
        <f>ステ計算型!$B$9</f>
        <v>82</v>
      </c>
      <c r="H227" s="7">
        <f t="shared" si="45"/>
        <v>347</v>
      </c>
      <c r="I227" s="5">
        <f>ステ計算型!$K$3</f>
        <v>7390</v>
      </c>
      <c r="J227" s="5">
        <f>ステ計算型!$N$3</f>
        <v>66</v>
      </c>
      <c r="K227" s="5">
        <v>228</v>
      </c>
      <c r="L227" s="7">
        <f t="shared" si="46"/>
        <v>119</v>
      </c>
      <c r="M227" s="7">
        <f t="shared" si="40"/>
        <v>16303</v>
      </c>
      <c r="N227" s="2">
        <v>1</v>
      </c>
      <c r="O227" s="7">
        <f t="shared" si="38"/>
        <v>0.44</v>
      </c>
      <c r="P227" s="7">
        <f t="shared" si="47"/>
        <v>0.44</v>
      </c>
      <c r="Q227" s="2">
        <f>ステ計算型!$I$29</f>
        <v>1</v>
      </c>
      <c r="R227" s="2">
        <f>ステ計算型!$E$33</f>
        <v>0.2</v>
      </c>
      <c r="S227" s="7">
        <f t="shared" si="48"/>
        <v>5.1359999999999992</v>
      </c>
      <c r="T227" s="2">
        <f>ステ計算型!$I$27</f>
        <v>1.1000000000000001</v>
      </c>
      <c r="U227" s="2">
        <f>ステ計算型!$J$29</f>
        <v>2</v>
      </c>
      <c r="V227" s="2">
        <f>ステ計算型!$F$32</f>
        <v>0.75</v>
      </c>
      <c r="W227" s="2">
        <f>ステ計算型!$G$34</f>
        <v>1</v>
      </c>
      <c r="X227" s="7">
        <f t="shared" si="44"/>
        <v>75853.555007999996</v>
      </c>
      <c r="Y227" s="7">
        <f t="shared" si="41"/>
        <v>400</v>
      </c>
      <c r="Z227" s="7">
        <f t="shared" si="42"/>
        <v>1</v>
      </c>
      <c r="AA227" s="38">
        <f>IF(L227&lt;ステ計算型!$A$20,0,1)</f>
        <v>0</v>
      </c>
      <c r="AB227" s="3">
        <f t="shared" si="43"/>
        <v>0</v>
      </c>
    </row>
    <row r="228" spans="1:28" ht="8.25" customHeight="1">
      <c r="A228" s="3">
        <f t="shared" si="39"/>
        <v>0</v>
      </c>
      <c r="B228" s="2">
        <f>ステ計算型!$B$2</f>
        <v>101</v>
      </c>
      <c r="C228" s="7">
        <f>VLOOKUP(B228,ポイント!$A$1:$D$43,4,FALSE)</f>
        <v>571</v>
      </c>
      <c r="D228" s="2">
        <f>ステ計算型!$B$4</f>
        <v>5</v>
      </c>
      <c r="E228" s="2">
        <f>ステ計算型!$B$6</f>
        <v>127</v>
      </c>
      <c r="F228" s="2">
        <f>ステ計算型!$B$8</f>
        <v>10</v>
      </c>
      <c r="G228" s="2">
        <f>ステ計算型!$B$9</f>
        <v>82</v>
      </c>
      <c r="H228" s="7">
        <f t="shared" si="45"/>
        <v>347</v>
      </c>
      <c r="I228" s="5">
        <f>ステ計算型!$K$3</f>
        <v>7390</v>
      </c>
      <c r="J228" s="5">
        <f>ステ計算型!$N$3</f>
        <v>66</v>
      </c>
      <c r="K228" s="5">
        <v>229</v>
      </c>
      <c r="L228" s="7">
        <f t="shared" si="46"/>
        <v>118</v>
      </c>
      <c r="M228" s="7">
        <f t="shared" si="40"/>
        <v>16228</v>
      </c>
      <c r="N228" s="2">
        <v>1</v>
      </c>
      <c r="O228" s="7">
        <f t="shared" si="38"/>
        <v>0.44</v>
      </c>
      <c r="P228" s="7">
        <f t="shared" si="47"/>
        <v>0.44</v>
      </c>
      <c r="Q228" s="2">
        <f>ステ計算型!$I$29</f>
        <v>1</v>
      </c>
      <c r="R228" s="2">
        <f>ステ計算型!$E$33</f>
        <v>0.2</v>
      </c>
      <c r="S228" s="7">
        <f t="shared" si="48"/>
        <v>5.1479999999999997</v>
      </c>
      <c r="T228" s="2">
        <f>ステ計算型!$I$27</f>
        <v>1.1000000000000001</v>
      </c>
      <c r="U228" s="2">
        <f>ステ計算型!$J$29</f>
        <v>2</v>
      </c>
      <c r="V228" s="2">
        <f>ステ計算型!$F$32</f>
        <v>0.75</v>
      </c>
      <c r="W228" s="2">
        <f>ステ計算型!$G$34</f>
        <v>1</v>
      </c>
      <c r="X228" s="7">
        <f t="shared" si="44"/>
        <v>75645.978144000008</v>
      </c>
      <c r="Y228" s="7">
        <f t="shared" si="41"/>
        <v>400</v>
      </c>
      <c r="Z228" s="7">
        <f t="shared" si="42"/>
        <v>1</v>
      </c>
      <c r="AA228" s="38">
        <f>IF(L228&lt;ステ計算型!$A$20,0,1)</f>
        <v>0</v>
      </c>
      <c r="AB228" s="3">
        <f t="shared" si="43"/>
        <v>0</v>
      </c>
    </row>
    <row r="229" spans="1:28" ht="8.25" customHeight="1">
      <c r="A229" s="3">
        <f t="shared" si="39"/>
        <v>0</v>
      </c>
      <c r="B229" s="2">
        <f>ステ計算型!$B$2</f>
        <v>101</v>
      </c>
      <c r="C229" s="7">
        <f>VLOOKUP(B229,ポイント!$A$1:$D$43,4,FALSE)</f>
        <v>571</v>
      </c>
      <c r="D229" s="2">
        <f>ステ計算型!$B$4</f>
        <v>5</v>
      </c>
      <c r="E229" s="2">
        <f>ステ計算型!$B$6</f>
        <v>127</v>
      </c>
      <c r="F229" s="2">
        <f>ステ計算型!$B$8</f>
        <v>10</v>
      </c>
      <c r="G229" s="2">
        <f>ステ計算型!$B$9</f>
        <v>82</v>
      </c>
      <c r="H229" s="7">
        <f t="shared" si="45"/>
        <v>347</v>
      </c>
      <c r="I229" s="5">
        <f>ステ計算型!$K$3</f>
        <v>7390</v>
      </c>
      <c r="J229" s="5">
        <f>ステ計算型!$N$3</f>
        <v>66</v>
      </c>
      <c r="K229" s="5">
        <v>230</v>
      </c>
      <c r="L229" s="7">
        <f t="shared" si="46"/>
        <v>117</v>
      </c>
      <c r="M229" s="7">
        <f t="shared" si="40"/>
        <v>16153</v>
      </c>
      <c r="N229" s="2">
        <v>1</v>
      </c>
      <c r="O229" s="7">
        <f t="shared" si="38"/>
        <v>0.44</v>
      </c>
      <c r="P229" s="7">
        <f t="shared" si="47"/>
        <v>0.44</v>
      </c>
      <c r="Q229" s="2">
        <f>ステ計算型!$I$29</f>
        <v>1</v>
      </c>
      <c r="R229" s="2">
        <f>ステ計算型!$E$33</f>
        <v>0.2</v>
      </c>
      <c r="S229" s="7">
        <f t="shared" si="48"/>
        <v>5.1599999999999993</v>
      </c>
      <c r="T229" s="2">
        <f>ステ計算型!$I$27</f>
        <v>1.1000000000000001</v>
      </c>
      <c r="U229" s="2">
        <f>ステ計算型!$J$29</f>
        <v>2</v>
      </c>
      <c r="V229" s="2">
        <f>ステ計算型!$F$32</f>
        <v>0.75</v>
      </c>
      <c r="W229" s="2">
        <f>ステ計算型!$G$34</f>
        <v>1</v>
      </c>
      <c r="X229" s="7">
        <f t="shared" si="44"/>
        <v>75437.09448</v>
      </c>
      <c r="Y229" s="7">
        <f t="shared" si="41"/>
        <v>400</v>
      </c>
      <c r="Z229" s="7">
        <f t="shared" si="42"/>
        <v>1</v>
      </c>
      <c r="AA229" s="38">
        <f>IF(L229&lt;ステ計算型!$A$20,0,1)</f>
        <v>0</v>
      </c>
      <c r="AB229" s="3">
        <f t="shared" si="43"/>
        <v>0</v>
      </c>
    </row>
    <row r="230" spans="1:28" ht="8.25" customHeight="1">
      <c r="A230" s="3">
        <f t="shared" si="39"/>
        <v>0</v>
      </c>
      <c r="B230" s="2">
        <f>ステ計算型!$B$2</f>
        <v>101</v>
      </c>
      <c r="C230" s="7">
        <f>VLOOKUP(B230,ポイント!$A$1:$D$43,4,FALSE)</f>
        <v>571</v>
      </c>
      <c r="D230" s="2">
        <f>ステ計算型!$B$4</f>
        <v>5</v>
      </c>
      <c r="E230" s="2">
        <f>ステ計算型!$B$6</f>
        <v>127</v>
      </c>
      <c r="F230" s="2">
        <f>ステ計算型!$B$8</f>
        <v>10</v>
      </c>
      <c r="G230" s="2">
        <f>ステ計算型!$B$9</f>
        <v>82</v>
      </c>
      <c r="H230" s="7">
        <f t="shared" si="45"/>
        <v>347</v>
      </c>
      <c r="I230" s="5">
        <f>ステ計算型!$K$3</f>
        <v>7390</v>
      </c>
      <c r="J230" s="5">
        <f>ステ計算型!$N$3</f>
        <v>66</v>
      </c>
      <c r="K230" s="5">
        <v>231</v>
      </c>
      <c r="L230" s="7">
        <f t="shared" si="46"/>
        <v>116</v>
      </c>
      <c r="M230" s="7">
        <f t="shared" si="40"/>
        <v>16078</v>
      </c>
      <c r="N230" s="2">
        <v>1</v>
      </c>
      <c r="O230" s="7">
        <f t="shared" si="38"/>
        <v>0.44</v>
      </c>
      <c r="P230" s="7">
        <f t="shared" si="47"/>
        <v>0.44</v>
      </c>
      <c r="Q230" s="2">
        <f>ステ計算型!$I$29</f>
        <v>1</v>
      </c>
      <c r="R230" s="2">
        <f>ステ計算型!$E$33</f>
        <v>0.2</v>
      </c>
      <c r="S230" s="7">
        <f t="shared" si="48"/>
        <v>5.1720000000000006</v>
      </c>
      <c r="T230" s="2">
        <f>ステ計算型!$I$27</f>
        <v>1.1000000000000001</v>
      </c>
      <c r="U230" s="2">
        <f>ステ計算型!$J$29</f>
        <v>2</v>
      </c>
      <c r="V230" s="2">
        <f>ステ計算型!$F$32</f>
        <v>0.75</v>
      </c>
      <c r="W230" s="2">
        <f>ステ計算型!$G$34</f>
        <v>1</v>
      </c>
      <c r="X230" s="7">
        <f t="shared" si="44"/>
        <v>75226.904016000015</v>
      </c>
      <c r="Y230" s="7">
        <f t="shared" si="41"/>
        <v>400</v>
      </c>
      <c r="Z230" s="7">
        <f t="shared" si="42"/>
        <v>1</v>
      </c>
      <c r="AA230" s="38">
        <f>IF(L230&lt;ステ計算型!$A$20,0,1)</f>
        <v>0</v>
      </c>
      <c r="AB230" s="3">
        <f t="shared" si="43"/>
        <v>0</v>
      </c>
    </row>
    <row r="231" spans="1:28" ht="8.25" customHeight="1">
      <c r="A231" s="3">
        <f t="shared" si="39"/>
        <v>0</v>
      </c>
      <c r="B231" s="2">
        <f>ステ計算型!$B$2</f>
        <v>101</v>
      </c>
      <c r="C231" s="7">
        <f>VLOOKUP(B231,ポイント!$A$1:$D$43,4,FALSE)</f>
        <v>571</v>
      </c>
      <c r="D231" s="2">
        <f>ステ計算型!$B$4</f>
        <v>5</v>
      </c>
      <c r="E231" s="2">
        <f>ステ計算型!$B$6</f>
        <v>127</v>
      </c>
      <c r="F231" s="2">
        <f>ステ計算型!$B$8</f>
        <v>10</v>
      </c>
      <c r="G231" s="2">
        <f>ステ計算型!$B$9</f>
        <v>82</v>
      </c>
      <c r="H231" s="7">
        <f t="shared" si="45"/>
        <v>347</v>
      </c>
      <c r="I231" s="5">
        <f>ステ計算型!$K$3</f>
        <v>7390</v>
      </c>
      <c r="J231" s="5">
        <f>ステ計算型!$N$3</f>
        <v>66</v>
      </c>
      <c r="K231" s="5">
        <v>232</v>
      </c>
      <c r="L231" s="7">
        <f t="shared" si="46"/>
        <v>115</v>
      </c>
      <c r="M231" s="7">
        <f t="shared" si="40"/>
        <v>16003</v>
      </c>
      <c r="N231" s="2">
        <v>1</v>
      </c>
      <c r="O231" s="7">
        <f t="shared" si="38"/>
        <v>0.44</v>
      </c>
      <c r="P231" s="7">
        <f t="shared" si="47"/>
        <v>0.44</v>
      </c>
      <c r="Q231" s="2">
        <f>ステ計算型!$I$29</f>
        <v>1</v>
      </c>
      <c r="R231" s="2">
        <f>ステ計算型!$E$33</f>
        <v>0.2</v>
      </c>
      <c r="S231" s="7">
        <f t="shared" si="48"/>
        <v>5.1840000000000002</v>
      </c>
      <c r="T231" s="2">
        <f>ステ計算型!$I$27</f>
        <v>1.1000000000000001</v>
      </c>
      <c r="U231" s="2">
        <f>ステ計算型!$J$29</f>
        <v>2</v>
      </c>
      <c r="V231" s="2">
        <f>ステ計算型!$F$32</f>
        <v>0.75</v>
      </c>
      <c r="W231" s="2">
        <f>ステ計算型!$G$34</f>
        <v>1</v>
      </c>
      <c r="X231" s="7">
        <f t="shared" si="44"/>
        <v>75015.406751999995</v>
      </c>
      <c r="Y231" s="7">
        <f t="shared" si="41"/>
        <v>400</v>
      </c>
      <c r="Z231" s="7">
        <f t="shared" si="42"/>
        <v>1</v>
      </c>
      <c r="AA231" s="38">
        <f>IF(L231&lt;ステ計算型!$A$20,0,1)</f>
        <v>0</v>
      </c>
      <c r="AB231" s="3">
        <f t="shared" si="43"/>
        <v>0</v>
      </c>
    </row>
    <row r="232" spans="1:28" ht="8.25" customHeight="1">
      <c r="A232" s="3">
        <f t="shared" si="39"/>
        <v>0</v>
      </c>
      <c r="B232" s="2">
        <f>ステ計算型!$B$2</f>
        <v>101</v>
      </c>
      <c r="C232" s="7">
        <f>VLOOKUP(B232,ポイント!$A$1:$D$43,4,FALSE)</f>
        <v>571</v>
      </c>
      <c r="D232" s="2">
        <f>ステ計算型!$B$4</f>
        <v>5</v>
      </c>
      <c r="E232" s="2">
        <f>ステ計算型!$B$6</f>
        <v>127</v>
      </c>
      <c r="F232" s="2">
        <f>ステ計算型!$B$8</f>
        <v>10</v>
      </c>
      <c r="G232" s="2">
        <f>ステ計算型!$B$9</f>
        <v>82</v>
      </c>
      <c r="H232" s="7">
        <f t="shared" si="45"/>
        <v>347</v>
      </c>
      <c r="I232" s="5">
        <f>ステ計算型!$K$3</f>
        <v>7390</v>
      </c>
      <c r="J232" s="5">
        <f>ステ計算型!$N$3</f>
        <v>66</v>
      </c>
      <c r="K232" s="5">
        <v>233</v>
      </c>
      <c r="L232" s="7">
        <f t="shared" si="46"/>
        <v>114</v>
      </c>
      <c r="M232" s="7">
        <f t="shared" si="40"/>
        <v>15928</v>
      </c>
      <c r="N232" s="2">
        <v>1</v>
      </c>
      <c r="O232" s="7">
        <f t="shared" si="38"/>
        <v>0.44</v>
      </c>
      <c r="P232" s="7">
        <f t="shared" si="47"/>
        <v>0.44</v>
      </c>
      <c r="Q232" s="2">
        <f>ステ計算型!$I$29</f>
        <v>1</v>
      </c>
      <c r="R232" s="2">
        <f>ステ計算型!$E$33</f>
        <v>0.2</v>
      </c>
      <c r="S232" s="7">
        <f t="shared" si="48"/>
        <v>5.1959999999999997</v>
      </c>
      <c r="T232" s="2">
        <f>ステ計算型!$I$27</f>
        <v>1.1000000000000001</v>
      </c>
      <c r="U232" s="2">
        <f>ステ計算型!$J$29</f>
        <v>2</v>
      </c>
      <c r="V232" s="2">
        <f>ステ計算型!$F$32</f>
        <v>0.75</v>
      </c>
      <c r="W232" s="2">
        <f>ステ計算型!$G$34</f>
        <v>1</v>
      </c>
      <c r="X232" s="7">
        <f t="shared" si="44"/>
        <v>74802.602688000014</v>
      </c>
      <c r="Y232" s="7">
        <f t="shared" si="41"/>
        <v>400</v>
      </c>
      <c r="Z232" s="7">
        <f t="shared" si="42"/>
        <v>1</v>
      </c>
      <c r="AA232" s="38">
        <f>IF(L232&lt;ステ計算型!$A$20,0,1)</f>
        <v>0</v>
      </c>
      <c r="AB232" s="3">
        <f t="shared" si="43"/>
        <v>0</v>
      </c>
    </row>
    <row r="233" spans="1:28" ht="8.25" customHeight="1">
      <c r="A233" s="3">
        <f t="shared" si="39"/>
        <v>0</v>
      </c>
      <c r="B233" s="2">
        <f>ステ計算型!$B$2</f>
        <v>101</v>
      </c>
      <c r="C233" s="7">
        <f>VLOOKUP(B233,ポイント!$A$1:$D$43,4,FALSE)</f>
        <v>571</v>
      </c>
      <c r="D233" s="2">
        <f>ステ計算型!$B$4</f>
        <v>5</v>
      </c>
      <c r="E233" s="2">
        <f>ステ計算型!$B$6</f>
        <v>127</v>
      </c>
      <c r="F233" s="2">
        <f>ステ計算型!$B$8</f>
        <v>10</v>
      </c>
      <c r="G233" s="2">
        <f>ステ計算型!$B$9</f>
        <v>82</v>
      </c>
      <c r="H233" s="7">
        <f t="shared" si="45"/>
        <v>347</v>
      </c>
      <c r="I233" s="5">
        <f>ステ計算型!$K$3</f>
        <v>7390</v>
      </c>
      <c r="J233" s="5">
        <f>ステ計算型!$N$3</f>
        <v>66</v>
      </c>
      <c r="K233" s="5">
        <v>234</v>
      </c>
      <c r="L233" s="7">
        <f t="shared" si="46"/>
        <v>113</v>
      </c>
      <c r="M233" s="7">
        <f t="shared" si="40"/>
        <v>15853</v>
      </c>
      <c r="N233" s="2">
        <v>1</v>
      </c>
      <c r="O233" s="7">
        <f t="shared" si="38"/>
        <v>0.45</v>
      </c>
      <c r="P233" s="7">
        <f t="shared" si="47"/>
        <v>0.45</v>
      </c>
      <c r="Q233" s="2">
        <f>ステ計算型!$I$29</f>
        <v>1</v>
      </c>
      <c r="R233" s="2">
        <f>ステ計算型!$E$33</f>
        <v>0.2</v>
      </c>
      <c r="S233" s="7">
        <f t="shared" si="48"/>
        <v>5.2079999999999993</v>
      </c>
      <c r="T233" s="2">
        <f>ステ計算型!$I$27</f>
        <v>1.1000000000000001</v>
      </c>
      <c r="U233" s="2">
        <f>ステ計算型!$J$29</f>
        <v>2</v>
      </c>
      <c r="V233" s="2">
        <f>ステ計算型!$F$32</f>
        <v>0.75</v>
      </c>
      <c r="W233" s="2">
        <f>ステ計算型!$G$34</f>
        <v>1</v>
      </c>
      <c r="X233" s="7">
        <f t="shared" si="44"/>
        <v>75689.197319999992</v>
      </c>
      <c r="Y233" s="7">
        <f t="shared" si="41"/>
        <v>400</v>
      </c>
      <c r="Z233" s="7">
        <f t="shared" si="42"/>
        <v>1</v>
      </c>
      <c r="AA233" s="38">
        <f>IF(L233&lt;ステ計算型!$A$20,0,1)</f>
        <v>0</v>
      </c>
      <c r="AB233" s="3">
        <f t="shared" si="43"/>
        <v>0</v>
      </c>
    </row>
    <row r="234" spans="1:28" ht="8.25" customHeight="1">
      <c r="A234" s="3">
        <f t="shared" si="39"/>
        <v>0</v>
      </c>
      <c r="B234" s="2">
        <f>ステ計算型!$B$2</f>
        <v>101</v>
      </c>
      <c r="C234" s="7">
        <f>VLOOKUP(B234,ポイント!$A$1:$D$43,4,FALSE)</f>
        <v>571</v>
      </c>
      <c r="D234" s="2">
        <f>ステ計算型!$B$4</f>
        <v>5</v>
      </c>
      <c r="E234" s="2">
        <f>ステ計算型!$B$6</f>
        <v>127</v>
      </c>
      <c r="F234" s="2">
        <f>ステ計算型!$B$8</f>
        <v>10</v>
      </c>
      <c r="G234" s="2">
        <f>ステ計算型!$B$9</f>
        <v>82</v>
      </c>
      <c r="H234" s="7">
        <f t="shared" si="45"/>
        <v>347</v>
      </c>
      <c r="I234" s="5">
        <f>ステ計算型!$K$3</f>
        <v>7390</v>
      </c>
      <c r="J234" s="5">
        <f>ステ計算型!$N$3</f>
        <v>66</v>
      </c>
      <c r="K234" s="5">
        <v>235</v>
      </c>
      <c r="L234" s="7">
        <f t="shared" si="46"/>
        <v>112</v>
      </c>
      <c r="M234" s="7">
        <f t="shared" si="40"/>
        <v>15778</v>
      </c>
      <c r="N234" s="2">
        <v>1</v>
      </c>
      <c r="O234" s="7">
        <f t="shared" si="38"/>
        <v>0.45</v>
      </c>
      <c r="P234" s="7">
        <f t="shared" si="47"/>
        <v>0.45</v>
      </c>
      <c r="Q234" s="2">
        <f>ステ計算型!$I$29</f>
        <v>1</v>
      </c>
      <c r="R234" s="2">
        <f>ステ計算型!$E$33</f>
        <v>0.2</v>
      </c>
      <c r="S234" s="7">
        <f t="shared" si="48"/>
        <v>5.22</v>
      </c>
      <c r="T234" s="2">
        <f>ステ計算型!$I$27</f>
        <v>1.1000000000000001</v>
      </c>
      <c r="U234" s="2">
        <f>ステ計算型!$J$29</f>
        <v>2</v>
      </c>
      <c r="V234" s="2">
        <f>ステ計算型!$F$32</f>
        <v>0.75</v>
      </c>
      <c r="W234" s="2">
        <f>ステ計算型!$G$34</f>
        <v>1</v>
      </c>
      <c r="X234" s="7">
        <f t="shared" si="44"/>
        <v>75471.696299999996</v>
      </c>
      <c r="Y234" s="7">
        <f t="shared" si="41"/>
        <v>400</v>
      </c>
      <c r="Z234" s="7">
        <f t="shared" si="42"/>
        <v>1</v>
      </c>
      <c r="AA234" s="38">
        <f>IF(L234&lt;ステ計算型!$A$20,0,1)</f>
        <v>0</v>
      </c>
      <c r="AB234" s="3">
        <f t="shared" si="43"/>
        <v>0</v>
      </c>
    </row>
    <row r="235" spans="1:28" ht="8.25" customHeight="1">
      <c r="A235" s="3">
        <f t="shared" si="39"/>
        <v>0</v>
      </c>
      <c r="B235" s="2">
        <f>ステ計算型!$B$2</f>
        <v>101</v>
      </c>
      <c r="C235" s="7">
        <f>VLOOKUP(B235,ポイント!$A$1:$D$43,4,FALSE)</f>
        <v>571</v>
      </c>
      <c r="D235" s="2">
        <f>ステ計算型!$B$4</f>
        <v>5</v>
      </c>
      <c r="E235" s="2">
        <f>ステ計算型!$B$6</f>
        <v>127</v>
      </c>
      <c r="F235" s="2">
        <f>ステ計算型!$B$8</f>
        <v>10</v>
      </c>
      <c r="G235" s="2">
        <f>ステ計算型!$B$9</f>
        <v>82</v>
      </c>
      <c r="H235" s="7">
        <f t="shared" si="45"/>
        <v>347</v>
      </c>
      <c r="I235" s="5">
        <f>ステ計算型!$K$3</f>
        <v>7390</v>
      </c>
      <c r="J235" s="5">
        <f>ステ計算型!$N$3</f>
        <v>66</v>
      </c>
      <c r="K235" s="5">
        <v>236</v>
      </c>
      <c r="L235" s="7">
        <f t="shared" si="46"/>
        <v>111</v>
      </c>
      <c r="M235" s="7">
        <f t="shared" si="40"/>
        <v>15703</v>
      </c>
      <c r="N235" s="2">
        <v>1</v>
      </c>
      <c r="O235" s="7">
        <f t="shared" si="38"/>
        <v>0.45</v>
      </c>
      <c r="P235" s="7">
        <f t="shared" si="47"/>
        <v>0.45</v>
      </c>
      <c r="Q235" s="2">
        <f>ステ計算型!$I$29</f>
        <v>1</v>
      </c>
      <c r="R235" s="2">
        <f>ステ計算型!$E$33</f>
        <v>0.2</v>
      </c>
      <c r="S235" s="7">
        <f t="shared" si="48"/>
        <v>5.2319999999999993</v>
      </c>
      <c r="T235" s="2">
        <f>ステ計算型!$I$27</f>
        <v>1.1000000000000001</v>
      </c>
      <c r="U235" s="2">
        <f>ステ計算型!$J$29</f>
        <v>2</v>
      </c>
      <c r="V235" s="2">
        <f>ステ計算型!$F$32</f>
        <v>0.75</v>
      </c>
      <c r="W235" s="2">
        <f>ステ計算型!$G$34</f>
        <v>1</v>
      </c>
      <c r="X235" s="7">
        <f t="shared" si="44"/>
        <v>75252.858779999995</v>
      </c>
      <c r="Y235" s="7">
        <f t="shared" si="41"/>
        <v>400</v>
      </c>
      <c r="Z235" s="7">
        <f t="shared" si="42"/>
        <v>1</v>
      </c>
      <c r="AA235" s="38">
        <f>IF(L235&lt;ステ計算型!$A$20,0,1)</f>
        <v>0</v>
      </c>
      <c r="AB235" s="3">
        <f t="shared" si="43"/>
        <v>0</v>
      </c>
    </row>
    <row r="236" spans="1:28" ht="8.25" customHeight="1">
      <c r="A236" s="3">
        <f t="shared" si="39"/>
        <v>0</v>
      </c>
      <c r="B236" s="2">
        <f>ステ計算型!$B$2</f>
        <v>101</v>
      </c>
      <c r="C236" s="7">
        <f>VLOOKUP(B236,ポイント!$A$1:$D$43,4,FALSE)</f>
        <v>571</v>
      </c>
      <c r="D236" s="2">
        <f>ステ計算型!$B$4</f>
        <v>5</v>
      </c>
      <c r="E236" s="2">
        <f>ステ計算型!$B$6</f>
        <v>127</v>
      </c>
      <c r="F236" s="2">
        <f>ステ計算型!$B$8</f>
        <v>10</v>
      </c>
      <c r="G236" s="2">
        <f>ステ計算型!$B$9</f>
        <v>82</v>
      </c>
      <c r="H236" s="7">
        <f t="shared" si="45"/>
        <v>347</v>
      </c>
      <c r="I236" s="5">
        <f>ステ計算型!$K$3</f>
        <v>7390</v>
      </c>
      <c r="J236" s="5">
        <f>ステ計算型!$N$3</f>
        <v>66</v>
      </c>
      <c r="K236" s="5">
        <v>237</v>
      </c>
      <c r="L236" s="7">
        <f t="shared" si="46"/>
        <v>110</v>
      </c>
      <c r="M236" s="7">
        <f t="shared" si="40"/>
        <v>15629</v>
      </c>
      <c r="N236" s="2">
        <v>1</v>
      </c>
      <c r="O236" s="7">
        <f t="shared" si="38"/>
        <v>0.45</v>
      </c>
      <c r="P236" s="7">
        <f t="shared" si="47"/>
        <v>0.45</v>
      </c>
      <c r="Q236" s="2">
        <f>ステ計算型!$I$29</f>
        <v>1</v>
      </c>
      <c r="R236" s="2">
        <f>ステ計算型!$E$33</f>
        <v>0.2</v>
      </c>
      <c r="S236" s="7">
        <f t="shared" si="48"/>
        <v>5.2439999999999998</v>
      </c>
      <c r="T236" s="2">
        <f>ステ計算型!$I$27</f>
        <v>1.1000000000000001</v>
      </c>
      <c r="U236" s="2">
        <f>ステ計算型!$J$29</f>
        <v>2</v>
      </c>
      <c r="V236" s="2">
        <f>ステ計算型!$F$32</f>
        <v>0.75</v>
      </c>
      <c r="W236" s="2">
        <f>ステ計算型!$G$34</f>
        <v>1</v>
      </c>
      <c r="X236" s="7">
        <f t="shared" si="44"/>
        <v>75037.48593000001</v>
      </c>
      <c r="Y236" s="7">
        <f t="shared" si="41"/>
        <v>400</v>
      </c>
      <c r="Z236" s="7">
        <f t="shared" si="42"/>
        <v>1</v>
      </c>
      <c r="AA236" s="38">
        <f>IF(L236&lt;ステ計算型!$A$20,0,1)</f>
        <v>0</v>
      </c>
      <c r="AB236" s="3">
        <f t="shared" si="43"/>
        <v>0</v>
      </c>
    </row>
    <row r="237" spans="1:28" ht="8.25" customHeight="1">
      <c r="A237" s="3">
        <f t="shared" si="39"/>
        <v>0</v>
      </c>
      <c r="B237" s="2">
        <f>ステ計算型!$B$2</f>
        <v>101</v>
      </c>
      <c r="C237" s="7">
        <f>VLOOKUP(B237,ポイント!$A$1:$D$43,4,FALSE)</f>
        <v>571</v>
      </c>
      <c r="D237" s="2">
        <f>ステ計算型!$B$4</f>
        <v>5</v>
      </c>
      <c r="E237" s="2">
        <f>ステ計算型!$B$6</f>
        <v>127</v>
      </c>
      <c r="F237" s="2">
        <f>ステ計算型!$B$8</f>
        <v>10</v>
      </c>
      <c r="G237" s="2">
        <f>ステ計算型!$B$9</f>
        <v>82</v>
      </c>
      <c r="H237" s="7">
        <f t="shared" si="45"/>
        <v>347</v>
      </c>
      <c r="I237" s="5">
        <f>ステ計算型!$K$3</f>
        <v>7390</v>
      </c>
      <c r="J237" s="5">
        <f>ステ計算型!$N$3</f>
        <v>66</v>
      </c>
      <c r="K237" s="5">
        <v>238</v>
      </c>
      <c r="L237" s="7">
        <f t="shared" si="46"/>
        <v>109</v>
      </c>
      <c r="M237" s="7">
        <f t="shared" si="40"/>
        <v>15554</v>
      </c>
      <c r="N237" s="2">
        <v>1</v>
      </c>
      <c r="O237" s="7">
        <f t="shared" si="38"/>
        <v>0.45</v>
      </c>
      <c r="P237" s="7">
        <f t="shared" si="47"/>
        <v>0.45</v>
      </c>
      <c r="Q237" s="2">
        <f>ステ計算型!$I$29</f>
        <v>1</v>
      </c>
      <c r="R237" s="2">
        <f>ステ計算型!$E$33</f>
        <v>0.2</v>
      </c>
      <c r="S237" s="7">
        <f t="shared" si="48"/>
        <v>5.2559999999999993</v>
      </c>
      <c r="T237" s="2">
        <f>ステ計算型!$I$27</f>
        <v>1.1000000000000001</v>
      </c>
      <c r="U237" s="2">
        <f>ステ計算型!$J$29</f>
        <v>2</v>
      </c>
      <c r="V237" s="2">
        <f>ステ計算型!$F$32</f>
        <v>0.75</v>
      </c>
      <c r="W237" s="2">
        <f>ステ計算型!$G$34</f>
        <v>1</v>
      </c>
      <c r="X237" s="7">
        <f t="shared" si="44"/>
        <v>74815.984319999989</v>
      </c>
      <c r="Y237" s="7">
        <f t="shared" si="41"/>
        <v>400</v>
      </c>
      <c r="Z237" s="7">
        <f t="shared" si="42"/>
        <v>1</v>
      </c>
      <c r="AA237" s="38">
        <f>IF(L237&lt;ステ計算型!$A$20,0,1)</f>
        <v>0</v>
      </c>
      <c r="AB237" s="3">
        <f t="shared" si="43"/>
        <v>0</v>
      </c>
    </row>
    <row r="238" spans="1:28" ht="8.25" customHeight="1">
      <c r="A238" s="3">
        <f t="shared" si="39"/>
        <v>0</v>
      </c>
      <c r="B238" s="2">
        <f>ステ計算型!$B$2</f>
        <v>101</v>
      </c>
      <c r="C238" s="7">
        <f>VLOOKUP(B238,ポイント!$A$1:$D$43,4,FALSE)</f>
        <v>571</v>
      </c>
      <c r="D238" s="2">
        <f>ステ計算型!$B$4</f>
        <v>5</v>
      </c>
      <c r="E238" s="2">
        <f>ステ計算型!$B$6</f>
        <v>127</v>
      </c>
      <c r="F238" s="2">
        <f>ステ計算型!$B$8</f>
        <v>10</v>
      </c>
      <c r="G238" s="2">
        <f>ステ計算型!$B$9</f>
        <v>82</v>
      </c>
      <c r="H238" s="7">
        <f t="shared" si="45"/>
        <v>347</v>
      </c>
      <c r="I238" s="5">
        <f>ステ計算型!$K$3</f>
        <v>7390</v>
      </c>
      <c r="J238" s="5">
        <f>ステ計算型!$N$3</f>
        <v>66</v>
      </c>
      <c r="K238" s="5">
        <v>239</v>
      </c>
      <c r="L238" s="7">
        <f t="shared" si="46"/>
        <v>108</v>
      </c>
      <c r="M238" s="7">
        <f t="shared" si="40"/>
        <v>15479</v>
      </c>
      <c r="N238" s="2">
        <v>1</v>
      </c>
      <c r="O238" s="7">
        <f t="shared" si="38"/>
        <v>0.45</v>
      </c>
      <c r="P238" s="7">
        <f t="shared" si="47"/>
        <v>0.45</v>
      </c>
      <c r="Q238" s="2">
        <f>ステ計算型!$I$29</f>
        <v>1</v>
      </c>
      <c r="R238" s="2">
        <f>ステ計算型!$E$33</f>
        <v>0.2</v>
      </c>
      <c r="S238" s="7">
        <f t="shared" si="48"/>
        <v>5.2680000000000007</v>
      </c>
      <c r="T238" s="2">
        <f>ステ計算型!$I$27</f>
        <v>1.1000000000000001</v>
      </c>
      <c r="U238" s="2">
        <f>ステ計算型!$J$29</f>
        <v>2</v>
      </c>
      <c r="V238" s="2">
        <f>ステ計算型!$F$32</f>
        <v>0.75</v>
      </c>
      <c r="W238" s="2">
        <f>ステ計算型!$G$34</f>
        <v>1</v>
      </c>
      <c r="X238" s="7">
        <f t="shared" si="44"/>
        <v>74593.146210000006</v>
      </c>
      <c r="Y238" s="7">
        <f t="shared" si="41"/>
        <v>400</v>
      </c>
      <c r="Z238" s="7">
        <f t="shared" si="42"/>
        <v>1</v>
      </c>
      <c r="AA238" s="38">
        <f>IF(L238&lt;ステ計算型!$A$20,0,1)</f>
        <v>0</v>
      </c>
      <c r="AB238" s="3">
        <f t="shared" si="43"/>
        <v>0</v>
      </c>
    </row>
    <row r="239" spans="1:28" ht="8.25" customHeight="1">
      <c r="A239" s="3">
        <f t="shared" si="39"/>
        <v>0</v>
      </c>
      <c r="B239" s="2">
        <f>ステ計算型!$B$2</f>
        <v>101</v>
      </c>
      <c r="C239" s="7">
        <f>VLOOKUP(B239,ポイント!$A$1:$D$43,4,FALSE)</f>
        <v>571</v>
      </c>
      <c r="D239" s="2">
        <f>ステ計算型!$B$4</f>
        <v>5</v>
      </c>
      <c r="E239" s="2">
        <f>ステ計算型!$B$6</f>
        <v>127</v>
      </c>
      <c r="F239" s="2">
        <f>ステ計算型!$B$8</f>
        <v>10</v>
      </c>
      <c r="G239" s="2">
        <f>ステ計算型!$B$9</f>
        <v>82</v>
      </c>
      <c r="H239" s="7">
        <f t="shared" si="45"/>
        <v>347</v>
      </c>
      <c r="I239" s="5">
        <f>ステ計算型!$K$3</f>
        <v>7390</v>
      </c>
      <c r="J239" s="5">
        <f>ステ計算型!$N$3</f>
        <v>66</v>
      </c>
      <c r="K239" s="5">
        <v>240</v>
      </c>
      <c r="L239" s="7">
        <f t="shared" si="46"/>
        <v>107</v>
      </c>
      <c r="M239" s="7">
        <f t="shared" si="40"/>
        <v>15404</v>
      </c>
      <c r="N239" s="2">
        <v>1</v>
      </c>
      <c r="O239" s="7">
        <f t="shared" si="38"/>
        <v>0.45</v>
      </c>
      <c r="P239" s="7">
        <f t="shared" si="47"/>
        <v>0.45</v>
      </c>
      <c r="Q239" s="2">
        <f>ステ計算型!$I$29</f>
        <v>1</v>
      </c>
      <c r="R239" s="2">
        <f>ステ計算型!$E$33</f>
        <v>0.2</v>
      </c>
      <c r="S239" s="7">
        <f t="shared" si="48"/>
        <v>5.28</v>
      </c>
      <c r="T239" s="2">
        <f>ステ計算型!$I$27</f>
        <v>1.1000000000000001</v>
      </c>
      <c r="U239" s="2">
        <f>ステ計算型!$J$29</f>
        <v>2</v>
      </c>
      <c r="V239" s="2">
        <f>ステ計算型!$F$32</f>
        <v>0.75</v>
      </c>
      <c r="W239" s="2">
        <f>ステ計算型!$G$34</f>
        <v>1</v>
      </c>
      <c r="X239" s="7">
        <f t="shared" si="44"/>
        <v>74368.971600000004</v>
      </c>
      <c r="Y239" s="7">
        <f t="shared" si="41"/>
        <v>400</v>
      </c>
      <c r="Z239" s="7">
        <f t="shared" si="42"/>
        <v>1</v>
      </c>
      <c r="AA239" s="38">
        <f>IF(L239&lt;ステ計算型!$A$20,0,1)</f>
        <v>0</v>
      </c>
      <c r="AB239" s="3">
        <f t="shared" si="43"/>
        <v>0</v>
      </c>
    </row>
    <row r="240" spans="1:28" ht="8.25" customHeight="1">
      <c r="A240" s="3">
        <f t="shared" si="39"/>
        <v>0</v>
      </c>
      <c r="B240" s="2">
        <f>ステ計算型!$B$2</f>
        <v>101</v>
      </c>
      <c r="C240" s="7">
        <f>VLOOKUP(B240,ポイント!$A$1:$D$43,4,FALSE)</f>
        <v>571</v>
      </c>
      <c r="D240" s="2">
        <f>ステ計算型!$B$4</f>
        <v>5</v>
      </c>
      <c r="E240" s="2">
        <f>ステ計算型!$B$6</f>
        <v>127</v>
      </c>
      <c r="F240" s="2">
        <f>ステ計算型!$B$8</f>
        <v>10</v>
      </c>
      <c r="G240" s="2">
        <f>ステ計算型!$B$9</f>
        <v>82</v>
      </c>
      <c r="H240" s="7">
        <f t="shared" si="45"/>
        <v>347</v>
      </c>
      <c r="I240" s="5">
        <f>ステ計算型!$K$3</f>
        <v>7390</v>
      </c>
      <c r="J240" s="5">
        <f>ステ計算型!$N$3</f>
        <v>66</v>
      </c>
      <c r="K240" s="5">
        <v>241</v>
      </c>
      <c r="L240" s="7">
        <f t="shared" si="46"/>
        <v>106</v>
      </c>
      <c r="M240" s="7">
        <f t="shared" si="40"/>
        <v>15329</v>
      </c>
      <c r="N240" s="2">
        <v>1</v>
      </c>
      <c r="O240" s="7">
        <f t="shared" si="38"/>
        <v>0.46</v>
      </c>
      <c r="P240" s="7">
        <f t="shared" si="47"/>
        <v>0.46</v>
      </c>
      <c r="Q240" s="2">
        <f>ステ計算型!$I$29</f>
        <v>1</v>
      </c>
      <c r="R240" s="2">
        <f>ステ計算型!$E$33</f>
        <v>0.2</v>
      </c>
      <c r="S240" s="7">
        <f t="shared" si="48"/>
        <v>5.2919999999999998</v>
      </c>
      <c r="T240" s="2">
        <f>ステ計算型!$I$27</f>
        <v>1.1000000000000001</v>
      </c>
      <c r="U240" s="2">
        <f>ステ計算型!$J$29</f>
        <v>2</v>
      </c>
      <c r="V240" s="2">
        <f>ステ計算型!$F$32</f>
        <v>0.75</v>
      </c>
      <c r="W240" s="2">
        <f>ステ計算型!$G$34</f>
        <v>1</v>
      </c>
      <c r="X240" s="7">
        <f t="shared" si="44"/>
        <v>75229.029612000013</v>
      </c>
      <c r="Y240" s="7">
        <f t="shared" si="41"/>
        <v>400</v>
      </c>
      <c r="Z240" s="7">
        <f t="shared" si="42"/>
        <v>1</v>
      </c>
      <c r="AA240" s="38">
        <f>IF(L240&lt;ステ計算型!$A$20,0,1)</f>
        <v>0</v>
      </c>
      <c r="AB240" s="3">
        <f t="shared" si="43"/>
        <v>0</v>
      </c>
    </row>
    <row r="241" spans="1:28" ht="8.25" customHeight="1">
      <c r="A241" s="3">
        <f t="shared" si="39"/>
        <v>0</v>
      </c>
      <c r="B241" s="2">
        <f>ステ計算型!$B$2</f>
        <v>101</v>
      </c>
      <c r="C241" s="7">
        <f>VLOOKUP(B241,ポイント!$A$1:$D$43,4,FALSE)</f>
        <v>571</v>
      </c>
      <c r="D241" s="2">
        <f>ステ計算型!$B$4</f>
        <v>5</v>
      </c>
      <c r="E241" s="2">
        <f>ステ計算型!$B$6</f>
        <v>127</v>
      </c>
      <c r="F241" s="2">
        <f>ステ計算型!$B$8</f>
        <v>10</v>
      </c>
      <c r="G241" s="2">
        <f>ステ計算型!$B$9</f>
        <v>82</v>
      </c>
      <c r="H241" s="7">
        <f t="shared" si="45"/>
        <v>347</v>
      </c>
      <c r="I241" s="5">
        <f>ステ計算型!$K$3</f>
        <v>7390</v>
      </c>
      <c r="J241" s="5">
        <f>ステ計算型!$N$3</f>
        <v>66</v>
      </c>
      <c r="K241" s="5">
        <v>242</v>
      </c>
      <c r="L241" s="7">
        <f t="shared" si="46"/>
        <v>105</v>
      </c>
      <c r="M241" s="7">
        <f t="shared" si="40"/>
        <v>15254</v>
      </c>
      <c r="N241" s="2">
        <v>1</v>
      </c>
      <c r="O241" s="7">
        <f t="shared" si="38"/>
        <v>0.46</v>
      </c>
      <c r="P241" s="7">
        <f t="shared" si="47"/>
        <v>0.46</v>
      </c>
      <c r="Q241" s="2">
        <f>ステ計算型!$I$29</f>
        <v>1</v>
      </c>
      <c r="R241" s="2">
        <f>ステ計算型!$E$33</f>
        <v>0.2</v>
      </c>
      <c r="S241" s="7">
        <f t="shared" si="48"/>
        <v>5.3039999999999994</v>
      </c>
      <c r="T241" s="2">
        <f>ステ計算型!$I$27</f>
        <v>1.1000000000000001</v>
      </c>
      <c r="U241" s="2">
        <f>ステ計算型!$J$29</f>
        <v>2</v>
      </c>
      <c r="V241" s="2">
        <f>ステ計算型!$F$32</f>
        <v>0.75</v>
      </c>
      <c r="W241" s="2">
        <f>ステ計算型!$G$34</f>
        <v>1</v>
      </c>
      <c r="X241" s="7">
        <f t="shared" si="44"/>
        <v>74999.890943999999</v>
      </c>
      <c r="Y241" s="7">
        <f t="shared" si="41"/>
        <v>400</v>
      </c>
      <c r="Z241" s="7">
        <f t="shared" si="42"/>
        <v>1</v>
      </c>
      <c r="AA241" s="38">
        <f>IF(L241&lt;ステ計算型!$A$20,0,1)</f>
        <v>0</v>
      </c>
      <c r="AB241" s="3">
        <f t="shared" si="43"/>
        <v>0</v>
      </c>
    </row>
    <row r="242" spans="1:28" ht="8.25" customHeight="1">
      <c r="A242" s="3">
        <f t="shared" si="39"/>
        <v>0</v>
      </c>
      <c r="B242" s="2">
        <f>ステ計算型!$B$2</f>
        <v>101</v>
      </c>
      <c r="C242" s="7">
        <f>VLOOKUP(B242,ポイント!$A$1:$D$43,4,FALSE)</f>
        <v>571</v>
      </c>
      <c r="D242" s="2">
        <f>ステ計算型!$B$4</f>
        <v>5</v>
      </c>
      <c r="E242" s="2">
        <f>ステ計算型!$B$6</f>
        <v>127</v>
      </c>
      <c r="F242" s="2">
        <f>ステ計算型!$B$8</f>
        <v>10</v>
      </c>
      <c r="G242" s="2">
        <f>ステ計算型!$B$9</f>
        <v>82</v>
      </c>
      <c r="H242" s="7">
        <f t="shared" si="45"/>
        <v>347</v>
      </c>
      <c r="I242" s="5">
        <f>ステ計算型!$K$3</f>
        <v>7390</v>
      </c>
      <c r="J242" s="5">
        <f>ステ計算型!$N$3</f>
        <v>66</v>
      </c>
      <c r="K242" s="5">
        <v>243</v>
      </c>
      <c r="L242" s="7">
        <f t="shared" si="46"/>
        <v>104</v>
      </c>
      <c r="M242" s="7">
        <f t="shared" si="40"/>
        <v>15179</v>
      </c>
      <c r="N242" s="2">
        <v>1</v>
      </c>
      <c r="O242" s="7">
        <f t="shared" si="38"/>
        <v>0.46</v>
      </c>
      <c r="P242" s="7">
        <f t="shared" si="47"/>
        <v>0.46</v>
      </c>
      <c r="Q242" s="2">
        <f>ステ計算型!$I$29</f>
        <v>1</v>
      </c>
      <c r="R242" s="2">
        <f>ステ計算型!$E$33</f>
        <v>0.2</v>
      </c>
      <c r="S242" s="7">
        <f t="shared" si="48"/>
        <v>5.3159999999999998</v>
      </c>
      <c r="T242" s="2">
        <f>ステ計算型!$I$27</f>
        <v>1.1000000000000001</v>
      </c>
      <c r="U242" s="2">
        <f>ステ計算型!$J$29</f>
        <v>2</v>
      </c>
      <c r="V242" s="2">
        <f>ステ計算型!$F$32</f>
        <v>0.75</v>
      </c>
      <c r="W242" s="2">
        <f>ステ計算型!$G$34</f>
        <v>1</v>
      </c>
      <c r="X242" s="7">
        <f t="shared" si="44"/>
        <v>74769.38607600001</v>
      </c>
      <c r="Y242" s="7">
        <f t="shared" si="41"/>
        <v>400</v>
      </c>
      <c r="Z242" s="7">
        <f t="shared" si="42"/>
        <v>1</v>
      </c>
      <c r="AA242" s="38">
        <f>IF(L242&lt;ステ計算型!$A$20,0,1)</f>
        <v>0</v>
      </c>
      <c r="AB242" s="3">
        <f t="shared" si="43"/>
        <v>0</v>
      </c>
    </row>
    <row r="243" spans="1:28" ht="8.25" customHeight="1">
      <c r="A243" s="3">
        <f t="shared" si="39"/>
        <v>0</v>
      </c>
      <c r="B243" s="2">
        <f>ステ計算型!$B$2</f>
        <v>101</v>
      </c>
      <c r="C243" s="7">
        <f>VLOOKUP(B243,ポイント!$A$1:$D$43,4,FALSE)</f>
        <v>571</v>
      </c>
      <c r="D243" s="2">
        <f>ステ計算型!$B$4</f>
        <v>5</v>
      </c>
      <c r="E243" s="2">
        <f>ステ計算型!$B$6</f>
        <v>127</v>
      </c>
      <c r="F243" s="2">
        <f>ステ計算型!$B$8</f>
        <v>10</v>
      </c>
      <c r="G243" s="2">
        <f>ステ計算型!$B$9</f>
        <v>82</v>
      </c>
      <c r="H243" s="7">
        <f t="shared" si="45"/>
        <v>347</v>
      </c>
      <c r="I243" s="5">
        <f>ステ計算型!$K$3</f>
        <v>7390</v>
      </c>
      <c r="J243" s="5">
        <f>ステ計算型!$N$3</f>
        <v>66</v>
      </c>
      <c r="K243" s="5">
        <v>244</v>
      </c>
      <c r="L243" s="7">
        <f t="shared" si="46"/>
        <v>103</v>
      </c>
      <c r="M243" s="7">
        <f t="shared" si="40"/>
        <v>15104</v>
      </c>
      <c r="N243" s="2">
        <v>1</v>
      </c>
      <c r="O243" s="7">
        <f t="shared" si="38"/>
        <v>0.46</v>
      </c>
      <c r="P243" s="7">
        <f t="shared" si="47"/>
        <v>0.46</v>
      </c>
      <c r="Q243" s="2">
        <f>ステ計算型!$I$29</f>
        <v>1</v>
      </c>
      <c r="R243" s="2">
        <f>ステ計算型!$E$33</f>
        <v>0.2</v>
      </c>
      <c r="S243" s="7">
        <f t="shared" si="48"/>
        <v>5.3279999999999994</v>
      </c>
      <c r="T243" s="2">
        <f>ステ計算型!$I$27</f>
        <v>1.1000000000000001</v>
      </c>
      <c r="U243" s="2">
        <f>ステ計算型!$J$29</f>
        <v>2</v>
      </c>
      <c r="V243" s="2">
        <f>ステ計算型!$F$32</f>
        <v>0.75</v>
      </c>
      <c r="W243" s="2">
        <f>ステ計算型!$G$34</f>
        <v>1</v>
      </c>
      <c r="X243" s="7">
        <f t="shared" si="44"/>
        <v>74537.515008000002</v>
      </c>
      <c r="Y243" s="7">
        <f t="shared" si="41"/>
        <v>400</v>
      </c>
      <c r="Z243" s="7">
        <f t="shared" si="42"/>
        <v>1</v>
      </c>
      <c r="AA243" s="38">
        <f>IF(L243&lt;ステ計算型!$A$20,0,1)</f>
        <v>0</v>
      </c>
      <c r="AB243" s="3">
        <f t="shared" si="43"/>
        <v>0</v>
      </c>
    </row>
    <row r="244" spans="1:28" ht="8.25" customHeight="1">
      <c r="A244" s="3">
        <f t="shared" si="39"/>
        <v>0</v>
      </c>
      <c r="B244" s="2">
        <f>ステ計算型!$B$2</f>
        <v>101</v>
      </c>
      <c r="C244" s="7">
        <f>VLOOKUP(B244,ポイント!$A$1:$D$43,4,FALSE)</f>
        <v>571</v>
      </c>
      <c r="D244" s="2">
        <f>ステ計算型!$B$4</f>
        <v>5</v>
      </c>
      <c r="E244" s="2">
        <f>ステ計算型!$B$6</f>
        <v>127</v>
      </c>
      <c r="F244" s="2">
        <f>ステ計算型!$B$8</f>
        <v>10</v>
      </c>
      <c r="G244" s="2">
        <f>ステ計算型!$B$9</f>
        <v>82</v>
      </c>
      <c r="H244" s="7">
        <f t="shared" si="45"/>
        <v>347</v>
      </c>
      <c r="I244" s="5">
        <f>ステ計算型!$K$3</f>
        <v>7390</v>
      </c>
      <c r="J244" s="5">
        <f>ステ計算型!$N$3</f>
        <v>66</v>
      </c>
      <c r="K244" s="5">
        <v>245</v>
      </c>
      <c r="L244" s="7">
        <f t="shared" si="46"/>
        <v>102</v>
      </c>
      <c r="M244" s="7">
        <f t="shared" si="40"/>
        <v>15029</v>
      </c>
      <c r="N244" s="2">
        <v>1</v>
      </c>
      <c r="O244" s="7">
        <f t="shared" si="38"/>
        <v>0.46</v>
      </c>
      <c r="P244" s="7">
        <f t="shared" si="47"/>
        <v>0.46</v>
      </c>
      <c r="Q244" s="2">
        <f>ステ計算型!$I$29</f>
        <v>1</v>
      </c>
      <c r="R244" s="2">
        <f>ステ計算型!$E$33</f>
        <v>0.2</v>
      </c>
      <c r="S244" s="7">
        <f t="shared" si="48"/>
        <v>5.34</v>
      </c>
      <c r="T244" s="2">
        <f>ステ計算型!$I$27</f>
        <v>1.1000000000000001</v>
      </c>
      <c r="U244" s="2">
        <f>ステ計算型!$J$29</f>
        <v>2</v>
      </c>
      <c r="V244" s="2">
        <f>ステ計算型!$F$32</f>
        <v>0.75</v>
      </c>
      <c r="W244" s="2">
        <f>ステ計算型!$G$34</f>
        <v>1</v>
      </c>
      <c r="X244" s="7">
        <f t="shared" si="44"/>
        <v>74304.277740000005</v>
      </c>
      <c r="Y244" s="7">
        <f t="shared" si="41"/>
        <v>400</v>
      </c>
      <c r="Z244" s="7">
        <f t="shared" si="42"/>
        <v>1</v>
      </c>
      <c r="AA244" s="38">
        <f>IF(L244&lt;ステ計算型!$A$20,0,1)</f>
        <v>0</v>
      </c>
      <c r="AB244" s="3">
        <f t="shared" si="43"/>
        <v>0</v>
      </c>
    </row>
    <row r="245" spans="1:28" ht="8.25" customHeight="1">
      <c r="A245" s="3">
        <f t="shared" si="39"/>
        <v>0</v>
      </c>
      <c r="B245" s="2">
        <f>ステ計算型!$B$2</f>
        <v>101</v>
      </c>
      <c r="C245" s="7">
        <f>VLOOKUP(B245,ポイント!$A$1:$D$43,4,FALSE)</f>
        <v>571</v>
      </c>
      <c r="D245" s="2">
        <f>ステ計算型!$B$4</f>
        <v>5</v>
      </c>
      <c r="E245" s="2">
        <f>ステ計算型!$B$6</f>
        <v>127</v>
      </c>
      <c r="F245" s="2">
        <f>ステ計算型!$B$8</f>
        <v>10</v>
      </c>
      <c r="G245" s="2">
        <f>ステ計算型!$B$9</f>
        <v>82</v>
      </c>
      <c r="H245" s="7">
        <f t="shared" si="45"/>
        <v>347</v>
      </c>
      <c r="I245" s="5">
        <f>ステ計算型!$K$3</f>
        <v>7390</v>
      </c>
      <c r="J245" s="5">
        <f>ステ計算型!$N$3</f>
        <v>66</v>
      </c>
      <c r="K245" s="5">
        <v>246</v>
      </c>
      <c r="L245" s="7">
        <f t="shared" si="46"/>
        <v>101</v>
      </c>
      <c r="M245" s="7">
        <f t="shared" si="40"/>
        <v>14954</v>
      </c>
      <c r="N245" s="2">
        <v>1</v>
      </c>
      <c r="O245" s="7">
        <f t="shared" si="38"/>
        <v>0.46</v>
      </c>
      <c r="P245" s="7">
        <f t="shared" si="47"/>
        <v>0.46</v>
      </c>
      <c r="Q245" s="2">
        <f>ステ計算型!$I$29</f>
        <v>1</v>
      </c>
      <c r="R245" s="2">
        <f>ステ計算型!$E$33</f>
        <v>0.2</v>
      </c>
      <c r="S245" s="7">
        <f t="shared" si="48"/>
        <v>5.3519999999999994</v>
      </c>
      <c r="T245" s="2">
        <f>ステ計算型!$I$27</f>
        <v>1.1000000000000001</v>
      </c>
      <c r="U245" s="2">
        <f>ステ計算型!$J$29</f>
        <v>2</v>
      </c>
      <c r="V245" s="2">
        <f>ステ計算型!$F$32</f>
        <v>0.75</v>
      </c>
      <c r="W245" s="2">
        <f>ステ計算型!$G$34</f>
        <v>1</v>
      </c>
      <c r="X245" s="7">
        <f t="shared" si="44"/>
        <v>74069.674271999989</v>
      </c>
      <c r="Y245" s="7">
        <f t="shared" si="41"/>
        <v>400</v>
      </c>
      <c r="Z245" s="7">
        <f t="shared" si="42"/>
        <v>1</v>
      </c>
      <c r="AA245" s="38">
        <f>IF(L245&lt;ステ計算型!$A$20,0,1)</f>
        <v>0</v>
      </c>
      <c r="AB245" s="3">
        <f t="shared" si="43"/>
        <v>0</v>
      </c>
    </row>
    <row r="246" spans="1:28" ht="8.25" customHeight="1">
      <c r="A246" s="3">
        <f t="shared" si="39"/>
        <v>0</v>
      </c>
      <c r="B246" s="2">
        <f>ステ計算型!$B$2</f>
        <v>101</v>
      </c>
      <c r="C246" s="7">
        <f>VLOOKUP(B246,ポイント!$A$1:$D$43,4,FALSE)</f>
        <v>571</v>
      </c>
      <c r="D246" s="2">
        <f>ステ計算型!$B$4</f>
        <v>5</v>
      </c>
      <c r="E246" s="2">
        <f>ステ計算型!$B$6</f>
        <v>127</v>
      </c>
      <c r="F246" s="2">
        <f>ステ計算型!$B$8</f>
        <v>10</v>
      </c>
      <c r="G246" s="2">
        <f>ステ計算型!$B$9</f>
        <v>82</v>
      </c>
      <c r="H246" s="7">
        <f t="shared" si="45"/>
        <v>347</v>
      </c>
      <c r="I246" s="5">
        <f>ステ計算型!$K$3</f>
        <v>7390</v>
      </c>
      <c r="J246" s="5">
        <f>ステ計算型!$N$3</f>
        <v>66</v>
      </c>
      <c r="K246" s="5">
        <v>247</v>
      </c>
      <c r="L246" s="7">
        <f t="shared" si="46"/>
        <v>100</v>
      </c>
      <c r="M246" s="7">
        <f t="shared" si="40"/>
        <v>14880</v>
      </c>
      <c r="N246" s="2">
        <v>1</v>
      </c>
      <c r="O246" s="7">
        <f t="shared" si="38"/>
        <v>0.46</v>
      </c>
      <c r="P246" s="7">
        <f t="shared" si="47"/>
        <v>0.46</v>
      </c>
      <c r="Q246" s="2">
        <f>ステ計算型!$I$29</f>
        <v>1</v>
      </c>
      <c r="R246" s="2">
        <f>ステ計算型!$E$33</f>
        <v>0.2</v>
      </c>
      <c r="S246" s="7">
        <f t="shared" si="48"/>
        <v>5.3640000000000008</v>
      </c>
      <c r="T246" s="2">
        <f>ステ計算型!$I$27</f>
        <v>1.1000000000000001</v>
      </c>
      <c r="U246" s="2">
        <f>ステ計算型!$J$29</f>
        <v>2</v>
      </c>
      <c r="V246" s="2">
        <f>ステ計算型!$F$32</f>
        <v>0.75</v>
      </c>
      <c r="W246" s="2">
        <f>ステ計算型!$G$34</f>
        <v>1</v>
      </c>
      <c r="X246" s="7">
        <f t="shared" si="44"/>
        <v>73838.666880000004</v>
      </c>
      <c r="Y246" s="7">
        <f t="shared" si="41"/>
        <v>400</v>
      </c>
      <c r="Z246" s="7">
        <f t="shared" si="42"/>
        <v>1</v>
      </c>
      <c r="AA246" s="38">
        <f>IF(L246&lt;ステ計算型!$A$20,0,1)</f>
        <v>0</v>
      </c>
      <c r="AB246" s="3">
        <f t="shared" si="43"/>
        <v>0</v>
      </c>
    </row>
    <row r="247" spans="1:28" ht="8.25" customHeight="1">
      <c r="A247" s="3">
        <f t="shared" si="39"/>
        <v>0</v>
      </c>
      <c r="B247" s="2">
        <f>ステ計算型!$B$2</f>
        <v>101</v>
      </c>
      <c r="C247" s="7">
        <f>VLOOKUP(B247,ポイント!$A$1:$D$43,4,FALSE)</f>
        <v>571</v>
      </c>
      <c r="D247" s="2">
        <f>ステ計算型!$B$4</f>
        <v>5</v>
      </c>
      <c r="E247" s="2">
        <f>ステ計算型!$B$6</f>
        <v>127</v>
      </c>
      <c r="F247" s="2">
        <f>ステ計算型!$B$8</f>
        <v>10</v>
      </c>
      <c r="G247" s="2">
        <f>ステ計算型!$B$9</f>
        <v>82</v>
      </c>
      <c r="H247" s="7">
        <f t="shared" si="45"/>
        <v>347</v>
      </c>
      <c r="I247" s="5">
        <f>ステ計算型!$K$3</f>
        <v>7390</v>
      </c>
      <c r="J247" s="5">
        <f>ステ計算型!$N$3</f>
        <v>66</v>
      </c>
      <c r="K247" s="5">
        <v>248</v>
      </c>
      <c r="L247" s="7">
        <f t="shared" si="46"/>
        <v>99</v>
      </c>
      <c r="M247" s="7">
        <f t="shared" si="40"/>
        <v>14805</v>
      </c>
      <c r="N247" s="2">
        <v>1</v>
      </c>
      <c r="O247" s="7">
        <f t="shared" si="38"/>
        <v>0.46</v>
      </c>
      <c r="P247" s="7">
        <f t="shared" si="47"/>
        <v>0.46</v>
      </c>
      <c r="Q247" s="2">
        <f>ステ計算型!$I$29</f>
        <v>1</v>
      </c>
      <c r="R247" s="2">
        <f>ステ計算型!$E$33</f>
        <v>0.2</v>
      </c>
      <c r="S247" s="7">
        <f t="shared" si="48"/>
        <v>5.3760000000000003</v>
      </c>
      <c r="T247" s="2">
        <f>ステ計算型!$I$27</f>
        <v>1.1000000000000001</v>
      </c>
      <c r="U247" s="2">
        <f>ステ計算型!$J$29</f>
        <v>2</v>
      </c>
      <c r="V247" s="2">
        <f>ステ計算型!$F$32</f>
        <v>0.75</v>
      </c>
      <c r="W247" s="2">
        <f>ステ計算型!$G$34</f>
        <v>1</v>
      </c>
      <c r="X247" s="7">
        <f t="shared" si="44"/>
        <v>73601.340120000008</v>
      </c>
      <c r="Y247" s="7">
        <f t="shared" si="41"/>
        <v>400</v>
      </c>
      <c r="Z247" s="7">
        <f t="shared" si="42"/>
        <v>1</v>
      </c>
      <c r="AA247" s="38">
        <f>IF(L247&lt;ステ計算型!$A$20,0,1)</f>
        <v>0</v>
      </c>
      <c r="AB247" s="3">
        <f t="shared" si="43"/>
        <v>0</v>
      </c>
    </row>
    <row r="248" spans="1:28" ht="8.25" customHeight="1">
      <c r="A248" s="3">
        <f t="shared" si="39"/>
        <v>0</v>
      </c>
      <c r="B248" s="2">
        <f>ステ計算型!$B$2</f>
        <v>101</v>
      </c>
      <c r="C248" s="7">
        <f>VLOOKUP(B248,ポイント!$A$1:$D$43,4,FALSE)</f>
        <v>571</v>
      </c>
      <c r="D248" s="2">
        <f>ステ計算型!$B$4</f>
        <v>5</v>
      </c>
      <c r="E248" s="2">
        <f>ステ計算型!$B$6</f>
        <v>127</v>
      </c>
      <c r="F248" s="2">
        <f>ステ計算型!$B$8</f>
        <v>10</v>
      </c>
      <c r="G248" s="2">
        <f>ステ計算型!$B$9</f>
        <v>82</v>
      </c>
      <c r="H248" s="7">
        <f t="shared" si="45"/>
        <v>347</v>
      </c>
      <c r="I248" s="5">
        <f>ステ計算型!$K$3</f>
        <v>7390</v>
      </c>
      <c r="J248" s="5">
        <f>ステ計算型!$N$3</f>
        <v>66</v>
      </c>
      <c r="K248" s="5">
        <v>249</v>
      </c>
      <c r="L248" s="7">
        <f t="shared" si="46"/>
        <v>98</v>
      </c>
      <c r="M248" s="7">
        <f t="shared" si="40"/>
        <v>14730</v>
      </c>
      <c r="N248" s="2">
        <v>1</v>
      </c>
      <c r="O248" s="7">
        <f t="shared" si="38"/>
        <v>0.47</v>
      </c>
      <c r="P248" s="7">
        <f t="shared" si="47"/>
        <v>0.47</v>
      </c>
      <c r="Q248" s="2">
        <f>ステ計算型!$I$29</f>
        <v>1</v>
      </c>
      <c r="R248" s="2">
        <f>ステ計算型!$E$33</f>
        <v>0.2</v>
      </c>
      <c r="S248" s="7">
        <f t="shared" si="48"/>
        <v>5.3879999999999999</v>
      </c>
      <c r="T248" s="2">
        <f>ステ計算型!$I$27</f>
        <v>1.1000000000000001</v>
      </c>
      <c r="U248" s="2">
        <f>ステ計算型!$J$29</f>
        <v>2</v>
      </c>
      <c r="V248" s="2">
        <f>ステ計算型!$F$32</f>
        <v>0.75</v>
      </c>
      <c r="W248" s="2">
        <f>ステ計算型!$G$34</f>
        <v>1</v>
      </c>
      <c r="X248" s="7">
        <f t="shared" si="44"/>
        <v>74429.128620000003</v>
      </c>
      <c r="Y248" s="7">
        <f t="shared" si="41"/>
        <v>400</v>
      </c>
      <c r="Z248" s="7">
        <f t="shared" si="42"/>
        <v>1</v>
      </c>
      <c r="AA248" s="38">
        <f>IF(L248&lt;ステ計算型!$A$20,0,1)</f>
        <v>0</v>
      </c>
      <c r="AB248" s="3">
        <f t="shared" si="43"/>
        <v>0</v>
      </c>
    </row>
    <row r="249" spans="1:28" ht="8.25" customHeight="1">
      <c r="A249" s="3">
        <f t="shared" si="39"/>
        <v>0</v>
      </c>
      <c r="B249" s="2">
        <f>ステ計算型!$B$2</f>
        <v>101</v>
      </c>
      <c r="C249" s="7">
        <f>VLOOKUP(B249,ポイント!$A$1:$D$43,4,FALSE)</f>
        <v>571</v>
      </c>
      <c r="D249" s="2">
        <f>ステ計算型!$B$4</f>
        <v>5</v>
      </c>
      <c r="E249" s="2">
        <f>ステ計算型!$B$6</f>
        <v>127</v>
      </c>
      <c r="F249" s="2">
        <f>ステ計算型!$B$8</f>
        <v>10</v>
      </c>
      <c r="G249" s="2">
        <f>ステ計算型!$B$9</f>
        <v>82</v>
      </c>
      <c r="H249" s="7">
        <f t="shared" si="45"/>
        <v>347</v>
      </c>
      <c r="I249" s="5">
        <f>ステ計算型!$K$3</f>
        <v>7390</v>
      </c>
      <c r="J249" s="5">
        <f>ステ計算型!$N$3</f>
        <v>66</v>
      </c>
      <c r="K249" s="5">
        <v>250</v>
      </c>
      <c r="L249" s="7">
        <f t="shared" si="46"/>
        <v>97</v>
      </c>
      <c r="M249" s="7">
        <f t="shared" si="40"/>
        <v>14655</v>
      </c>
      <c r="N249" s="2">
        <v>1</v>
      </c>
      <c r="O249" s="7">
        <f t="shared" si="38"/>
        <v>0.47</v>
      </c>
      <c r="P249" s="7">
        <f t="shared" si="47"/>
        <v>0.47</v>
      </c>
      <c r="Q249" s="2">
        <f>ステ計算型!$I$29</f>
        <v>1</v>
      </c>
      <c r="R249" s="2">
        <f>ステ計算型!$E$33</f>
        <v>0.2</v>
      </c>
      <c r="S249" s="7">
        <f t="shared" si="48"/>
        <v>5.3999999999999995</v>
      </c>
      <c r="T249" s="2">
        <f>ステ計算型!$I$27</f>
        <v>1.1000000000000001</v>
      </c>
      <c r="U249" s="2">
        <f>ステ計算型!$J$29</f>
        <v>2</v>
      </c>
      <c r="V249" s="2">
        <f>ステ計算型!$F$32</f>
        <v>0.75</v>
      </c>
      <c r="W249" s="2">
        <f>ステ計算型!$G$34</f>
        <v>1</v>
      </c>
      <c r="X249" s="7">
        <f t="shared" si="44"/>
        <v>74186.540999999997</v>
      </c>
      <c r="Y249" s="7">
        <f t="shared" si="41"/>
        <v>400</v>
      </c>
      <c r="Z249" s="7">
        <f t="shared" si="42"/>
        <v>1</v>
      </c>
      <c r="AA249" s="38">
        <f>IF(L249&lt;ステ計算型!$A$20,0,1)</f>
        <v>0</v>
      </c>
      <c r="AB249" s="3">
        <f t="shared" si="43"/>
        <v>0</v>
      </c>
    </row>
    <row r="250" spans="1:28" ht="8.25" customHeight="1">
      <c r="A250" s="3">
        <f t="shared" si="39"/>
        <v>0</v>
      </c>
      <c r="B250" s="2">
        <f>ステ計算型!$B$2</f>
        <v>101</v>
      </c>
      <c r="C250" s="7">
        <f>VLOOKUP(B250,ポイント!$A$1:$D$43,4,FALSE)</f>
        <v>571</v>
      </c>
      <c r="D250" s="2">
        <f>ステ計算型!$B$4</f>
        <v>5</v>
      </c>
      <c r="E250" s="2">
        <f>ステ計算型!$B$6</f>
        <v>127</v>
      </c>
      <c r="F250" s="2">
        <f>ステ計算型!$B$8</f>
        <v>10</v>
      </c>
      <c r="G250" s="2">
        <f>ステ計算型!$B$9</f>
        <v>82</v>
      </c>
      <c r="H250" s="7">
        <f t="shared" si="45"/>
        <v>347</v>
      </c>
      <c r="I250" s="5">
        <f>ステ計算型!$K$3</f>
        <v>7390</v>
      </c>
      <c r="J250" s="5">
        <f>ステ計算型!$N$3</f>
        <v>66</v>
      </c>
      <c r="K250" s="5">
        <v>251</v>
      </c>
      <c r="L250" s="7">
        <f t="shared" si="46"/>
        <v>96</v>
      </c>
      <c r="M250" s="7">
        <f t="shared" si="40"/>
        <v>14580</v>
      </c>
      <c r="N250" s="2">
        <v>1</v>
      </c>
      <c r="O250" s="7">
        <f t="shared" si="38"/>
        <v>0.47</v>
      </c>
      <c r="P250" s="7">
        <f t="shared" si="47"/>
        <v>0.47</v>
      </c>
      <c r="Q250" s="2">
        <f>ステ計算型!$I$29</f>
        <v>1</v>
      </c>
      <c r="R250" s="2">
        <f>ステ計算型!$E$33</f>
        <v>0.2</v>
      </c>
      <c r="S250" s="7">
        <f t="shared" si="48"/>
        <v>5.4119999999999999</v>
      </c>
      <c r="T250" s="2">
        <f>ステ計算型!$I$27</f>
        <v>1.1000000000000001</v>
      </c>
      <c r="U250" s="2">
        <f>ステ計算型!$J$29</f>
        <v>2</v>
      </c>
      <c r="V250" s="2">
        <f>ステ計算型!$F$32</f>
        <v>0.75</v>
      </c>
      <c r="W250" s="2">
        <f>ステ計算型!$G$34</f>
        <v>1</v>
      </c>
      <c r="X250" s="7">
        <f t="shared" si="44"/>
        <v>73942.557480000018</v>
      </c>
      <c r="Y250" s="7">
        <f t="shared" si="41"/>
        <v>400</v>
      </c>
      <c r="Z250" s="7">
        <f t="shared" si="42"/>
        <v>1</v>
      </c>
      <c r="AA250" s="38">
        <f>IF(L250&lt;ステ計算型!$A$20,0,1)</f>
        <v>0</v>
      </c>
      <c r="AB250" s="3">
        <f t="shared" si="43"/>
        <v>0</v>
      </c>
    </row>
    <row r="251" spans="1:28" ht="8.25" customHeight="1">
      <c r="A251" s="3">
        <f t="shared" si="39"/>
        <v>0</v>
      </c>
      <c r="B251" s="2">
        <f>ステ計算型!$B$2</f>
        <v>101</v>
      </c>
      <c r="C251" s="7">
        <f>VLOOKUP(B251,ポイント!$A$1:$D$43,4,FALSE)</f>
        <v>571</v>
      </c>
      <c r="D251" s="2">
        <f>ステ計算型!$B$4</f>
        <v>5</v>
      </c>
      <c r="E251" s="2">
        <f>ステ計算型!$B$6</f>
        <v>127</v>
      </c>
      <c r="F251" s="2">
        <f>ステ計算型!$B$8</f>
        <v>10</v>
      </c>
      <c r="G251" s="2">
        <f>ステ計算型!$B$9</f>
        <v>82</v>
      </c>
      <c r="H251" s="7">
        <f t="shared" si="45"/>
        <v>347</v>
      </c>
      <c r="I251" s="5">
        <f>ステ計算型!$K$3</f>
        <v>7390</v>
      </c>
      <c r="J251" s="5">
        <f>ステ計算型!$N$3</f>
        <v>66</v>
      </c>
      <c r="K251" s="5">
        <v>252</v>
      </c>
      <c r="L251" s="7">
        <f t="shared" si="46"/>
        <v>95</v>
      </c>
      <c r="M251" s="7">
        <f t="shared" si="40"/>
        <v>14505</v>
      </c>
      <c r="N251" s="2">
        <v>1</v>
      </c>
      <c r="O251" s="7">
        <f t="shared" si="38"/>
        <v>0.47</v>
      </c>
      <c r="P251" s="7">
        <f t="shared" si="47"/>
        <v>0.47</v>
      </c>
      <c r="Q251" s="2">
        <f>ステ計算型!$I$29</f>
        <v>1</v>
      </c>
      <c r="R251" s="2">
        <f>ステ計算型!$E$33</f>
        <v>0.2</v>
      </c>
      <c r="S251" s="7">
        <f t="shared" si="48"/>
        <v>5.4239999999999995</v>
      </c>
      <c r="T251" s="2">
        <f>ステ計算型!$I$27</f>
        <v>1.1000000000000001</v>
      </c>
      <c r="U251" s="2">
        <f>ステ計算型!$J$29</f>
        <v>2</v>
      </c>
      <c r="V251" s="2">
        <f>ステ計算型!$F$32</f>
        <v>0.75</v>
      </c>
      <c r="W251" s="2">
        <f>ステ計算型!$G$34</f>
        <v>1</v>
      </c>
      <c r="X251" s="7">
        <f t="shared" si="44"/>
        <v>73697.178059999991</v>
      </c>
      <c r="Y251" s="7">
        <f t="shared" si="41"/>
        <v>400</v>
      </c>
      <c r="Z251" s="7">
        <f t="shared" si="42"/>
        <v>1</v>
      </c>
      <c r="AA251" s="38">
        <f>IF(L251&lt;ステ計算型!$A$20,0,1)</f>
        <v>0</v>
      </c>
      <c r="AB251" s="3">
        <f t="shared" si="43"/>
        <v>0</v>
      </c>
    </row>
    <row r="252" spans="1:28" ht="8.25" customHeight="1">
      <c r="A252" s="3">
        <f t="shared" si="39"/>
        <v>0</v>
      </c>
      <c r="B252" s="2">
        <f>ステ計算型!$B$2</f>
        <v>101</v>
      </c>
      <c r="C252" s="7">
        <f>VLOOKUP(B252,ポイント!$A$1:$D$43,4,FALSE)</f>
        <v>571</v>
      </c>
      <c r="D252" s="2">
        <f>ステ計算型!$B$4</f>
        <v>5</v>
      </c>
      <c r="E252" s="2">
        <f>ステ計算型!$B$6</f>
        <v>127</v>
      </c>
      <c r="F252" s="2">
        <f>ステ計算型!$B$8</f>
        <v>10</v>
      </c>
      <c r="G252" s="2">
        <f>ステ計算型!$B$9</f>
        <v>82</v>
      </c>
      <c r="H252" s="7">
        <f t="shared" si="45"/>
        <v>347</v>
      </c>
      <c r="I252" s="5">
        <f>ステ計算型!$K$3</f>
        <v>7390</v>
      </c>
      <c r="J252" s="5">
        <f>ステ計算型!$N$3</f>
        <v>66</v>
      </c>
      <c r="K252" s="5">
        <v>253</v>
      </c>
      <c r="L252" s="7">
        <f t="shared" si="46"/>
        <v>94</v>
      </c>
      <c r="M252" s="7">
        <f t="shared" si="40"/>
        <v>14430</v>
      </c>
      <c r="N252" s="2">
        <v>1</v>
      </c>
      <c r="O252" s="7">
        <f t="shared" si="38"/>
        <v>0.47</v>
      </c>
      <c r="P252" s="7">
        <f t="shared" si="47"/>
        <v>0.47</v>
      </c>
      <c r="Q252" s="2">
        <f>ステ計算型!$I$29</f>
        <v>1</v>
      </c>
      <c r="R252" s="2">
        <f>ステ計算型!$E$33</f>
        <v>0.2</v>
      </c>
      <c r="S252" s="7">
        <f t="shared" si="48"/>
        <v>5.4359999999999991</v>
      </c>
      <c r="T252" s="2">
        <f>ステ計算型!$I$27</f>
        <v>1.1000000000000001</v>
      </c>
      <c r="U252" s="2">
        <f>ステ計算型!$J$29</f>
        <v>2</v>
      </c>
      <c r="V252" s="2">
        <f>ステ計算型!$F$32</f>
        <v>0.75</v>
      </c>
      <c r="W252" s="2">
        <f>ステ計算型!$G$34</f>
        <v>1</v>
      </c>
      <c r="X252" s="7">
        <f t="shared" si="44"/>
        <v>73450.40273999999</v>
      </c>
      <c r="Y252" s="7">
        <f t="shared" si="41"/>
        <v>400</v>
      </c>
      <c r="Z252" s="7">
        <f t="shared" si="42"/>
        <v>1</v>
      </c>
      <c r="AA252" s="38">
        <f>IF(L252&lt;ステ計算型!$A$20,0,1)</f>
        <v>0</v>
      </c>
      <c r="AB252" s="3">
        <f t="shared" si="43"/>
        <v>0</v>
      </c>
    </row>
    <row r="253" spans="1:28" ht="8.25" customHeight="1">
      <c r="A253" s="3">
        <f t="shared" si="39"/>
        <v>0</v>
      </c>
      <c r="B253" s="2">
        <f>ステ計算型!$B$2</f>
        <v>101</v>
      </c>
      <c r="C253" s="7">
        <f>VLOOKUP(B253,ポイント!$A$1:$D$43,4,FALSE)</f>
        <v>571</v>
      </c>
      <c r="D253" s="2">
        <f>ステ計算型!$B$4</f>
        <v>5</v>
      </c>
      <c r="E253" s="2">
        <f>ステ計算型!$B$6</f>
        <v>127</v>
      </c>
      <c r="F253" s="2">
        <f>ステ計算型!$B$8</f>
        <v>10</v>
      </c>
      <c r="G253" s="2">
        <f>ステ計算型!$B$9</f>
        <v>82</v>
      </c>
      <c r="H253" s="7">
        <f t="shared" si="45"/>
        <v>347</v>
      </c>
      <c r="I253" s="5">
        <f>ステ計算型!$K$3</f>
        <v>7390</v>
      </c>
      <c r="J253" s="5">
        <f>ステ計算型!$N$3</f>
        <v>66</v>
      </c>
      <c r="K253" s="5">
        <v>254</v>
      </c>
      <c r="L253" s="7">
        <f t="shared" si="46"/>
        <v>93</v>
      </c>
      <c r="M253" s="7">
        <f t="shared" si="40"/>
        <v>14355</v>
      </c>
      <c r="N253" s="2">
        <v>1</v>
      </c>
      <c r="O253" s="7">
        <f t="shared" si="38"/>
        <v>0.47</v>
      </c>
      <c r="P253" s="7">
        <f t="shared" si="47"/>
        <v>0.47</v>
      </c>
      <c r="Q253" s="2">
        <f>ステ計算型!$I$29</f>
        <v>1</v>
      </c>
      <c r="R253" s="2">
        <f>ステ計算型!$E$33</f>
        <v>0.2</v>
      </c>
      <c r="S253" s="7">
        <f t="shared" si="48"/>
        <v>5.4479999999999995</v>
      </c>
      <c r="T253" s="2">
        <f>ステ計算型!$I$27</f>
        <v>1.1000000000000001</v>
      </c>
      <c r="U253" s="2">
        <f>ステ計算型!$J$29</f>
        <v>2</v>
      </c>
      <c r="V253" s="2">
        <f>ステ計算型!$F$32</f>
        <v>0.75</v>
      </c>
      <c r="W253" s="2">
        <f>ステ計算型!$G$34</f>
        <v>1</v>
      </c>
      <c r="X253" s="7">
        <f t="shared" si="44"/>
        <v>73202.231520000001</v>
      </c>
      <c r="Y253" s="7">
        <f t="shared" si="41"/>
        <v>400</v>
      </c>
      <c r="Z253" s="7">
        <f t="shared" si="42"/>
        <v>1</v>
      </c>
      <c r="AA253" s="38">
        <f>IF(L253&lt;ステ計算型!$A$20,0,1)</f>
        <v>0</v>
      </c>
      <c r="AB253" s="3">
        <f t="shared" si="43"/>
        <v>0</v>
      </c>
    </row>
    <row r="254" spans="1:28" ht="8.25" customHeight="1">
      <c r="A254" s="3">
        <f t="shared" si="39"/>
        <v>0</v>
      </c>
      <c r="B254" s="2">
        <f>ステ計算型!$B$2</f>
        <v>101</v>
      </c>
      <c r="C254" s="7">
        <f>VLOOKUP(B254,ポイント!$A$1:$D$43,4,FALSE)</f>
        <v>571</v>
      </c>
      <c r="D254" s="2">
        <f>ステ計算型!$B$4</f>
        <v>5</v>
      </c>
      <c r="E254" s="2">
        <f>ステ計算型!$B$6</f>
        <v>127</v>
      </c>
      <c r="F254" s="2">
        <f>ステ計算型!$B$8</f>
        <v>10</v>
      </c>
      <c r="G254" s="2">
        <f>ステ計算型!$B$9</f>
        <v>82</v>
      </c>
      <c r="H254" s="7">
        <f t="shared" si="45"/>
        <v>347</v>
      </c>
      <c r="I254" s="5">
        <f>ステ計算型!$K$3</f>
        <v>7390</v>
      </c>
      <c r="J254" s="5">
        <f>ステ計算型!$N$3</f>
        <v>66</v>
      </c>
      <c r="K254" s="5">
        <v>255</v>
      </c>
      <c r="L254" s="7">
        <f t="shared" si="46"/>
        <v>92</v>
      </c>
      <c r="M254" s="7">
        <f t="shared" si="40"/>
        <v>14280</v>
      </c>
      <c r="N254" s="2">
        <v>1</v>
      </c>
      <c r="O254" s="7">
        <f t="shared" si="38"/>
        <v>0.47</v>
      </c>
      <c r="P254" s="7">
        <f t="shared" si="47"/>
        <v>0.47</v>
      </c>
      <c r="Q254" s="2">
        <f>ステ計算型!$I$29</f>
        <v>1</v>
      </c>
      <c r="R254" s="2">
        <f>ステ計算型!$E$33</f>
        <v>0.2</v>
      </c>
      <c r="S254" s="7">
        <f t="shared" si="48"/>
        <v>5.46</v>
      </c>
      <c r="T254" s="2">
        <f>ステ計算型!$I$27</f>
        <v>1.1000000000000001</v>
      </c>
      <c r="U254" s="2">
        <f>ステ計算型!$J$29</f>
        <v>2</v>
      </c>
      <c r="V254" s="2">
        <f>ステ計算型!$F$32</f>
        <v>0.75</v>
      </c>
      <c r="W254" s="2">
        <f>ステ計算型!$G$34</f>
        <v>1</v>
      </c>
      <c r="X254" s="7">
        <f t="shared" si="44"/>
        <v>72952.664400000009</v>
      </c>
      <c r="Y254" s="7">
        <f t="shared" si="41"/>
        <v>400</v>
      </c>
      <c r="Z254" s="7">
        <f t="shared" si="42"/>
        <v>1</v>
      </c>
      <c r="AA254" s="38">
        <f>IF(L254&lt;ステ計算型!$A$20,0,1)</f>
        <v>0</v>
      </c>
      <c r="AB254" s="3">
        <f t="shared" si="43"/>
        <v>0</v>
      </c>
    </row>
    <row r="255" spans="1:28" ht="8.25" customHeight="1">
      <c r="A255" s="3">
        <f t="shared" si="39"/>
        <v>0</v>
      </c>
      <c r="B255" s="2">
        <f>ステ計算型!$B$2</f>
        <v>101</v>
      </c>
      <c r="C255" s="7">
        <f>VLOOKUP(B255,ポイント!$A$1:$D$43,4,FALSE)</f>
        <v>571</v>
      </c>
      <c r="D255" s="2">
        <f>ステ計算型!$B$4</f>
        <v>5</v>
      </c>
      <c r="E255" s="2">
        <f>ステ計算型!$B$6</f>
        <v>127</v>
      </c>
      <c r="F255" s="2">
        <f>ステ計算型!$B$8</f>
        <v>10</v>
      </c>
      <c r="G255" s="2">
        <f>ステ計算型!$B$9</f>
        <v>82</v>
      </c>
      <c r="H255" s="7">
        <f t="shared" si="45"/>
        <v>347</v>
      </c>
      <c r="I255" s="5">
        <f>ステ計算型!$K$3</f>
        <v>7390</v>
      </c>
      <c r="J255" s="5">
        <f>ステ計算型!$N$3</f>
        <v>66</v>
      </c>
      <c r="K255" s="5">
        <v>256</v>
      </c>
      <c r="L255" s="7">
        <f t="shared" si="46"/>
        <v>91</v>
      </c>
      <c r="M255" s="7">
        <f t="shared" si="40"/>
        <v>14205</v>
      </c>
      <c r="N255" s="2">
        <v>1</v>
      </c>
      <c r="O255" s="7">
        <f t="shared" si="38"/>
        <v>0.47</v>
      </c>
      <c r="P255" s="7">
        <f t="shared" si="47"/>
        <v>0.47</v>
      </c>
      <c r="Q255" s="2">
        <f>ステ計算型!$I$29</f>
        <v>1</v>
      </c>
      <c r="R255" s="2">
        <f>ステ計算型!$E$33</f>
        <v>0.2</v>
      </c>
      <c r="S255" s="7">
        <f t="shared" si="48"/>
        <v>5.4720000000000004</v>
      </c>
      <c r="T255" s="2">
        <f>ステ計算型!$I$27</f>
        <v>1.1000000000000001</v>
      </c>
      <c r="U255" s="2">
        <f>ステ計算型!$J$29</f>
        <v>2</v>
      </c>
      <c r="V255" s="2">
        <f>ステ計算型!$F$32</f>
        <v>0.75</v>
      </c>
      <c r="W255" s="2">
        <f>ステ計算型!$G$34</f>
        <v>1</v>
      </c>
      <c r="X255" s="7">
        <f t="shared" si="44"/>
        <v>72701.701380000013</v>
      </c>
      <c r="Y255" s="7">
        <f t="shared" si="41"/>
        <v>400</v>
      </c>
      <c r="Z255" s="7">
        <f t="shared" si="42"/>
        <v>1</v>
      </c>
      <c r="AA255" s="38">
        <f>IF(L255&lt;ステ計算型!$A$20,0,1)</f>
        <v>0</v>
      </c>
      <c r="AB255" s="3">
        <f t="shared" si="43"/>
        <v>0</v>
      </c>
    </row>
    <row r="256" spans="1:28" ht="8.25" customHeight="1">
      <c r="A256" s="3">
        <f t="shared" si="39"/>
        <v>0</v>
      </c>
      <c r="B256" s="2">
        <f>ステ計算型!$B$2</f>
        <v>101</v>
      </c>
      <c r="C256" s="7">
        <f>VLOOKUP(B256,ポイント!$A$1:$D$43,4,FALSE)</f>
        <v>571</v>
      </c>
      <c r="D256" s="2">
        <f>ステ計算型!$B$4</f>
        <v>5</v>
      </c>
      <c r="E256" s="2">
        <f>ステ計算型!$B$6</f>
        <v>127</v>
      </c>
      <c r="F256" s="2">
        <f>ステ計算型!$B$8</f>
        <v>10</v>
      </c>
      <c r="G256" s="2">
        <f>ステ計算型!$B$9</f>
        <v>82</v>
      </c>
      <c r="H256" s="7">
        <f t="shared" si="45"/>
        <v>347</v>
      </c>
      <c r="I256" s="5">
        <f>ステ計算型!$K$3</f>
        <v>7390</v>
      </c>
      <c r="J256" s="5">
        <f>ステ計算型!$N$3</f>
        <v>66</v>
      </c>
      <c r="K256" s="5">
        <v>257</v>
      </c>
      <c r="L256" s="7">
        <f t="shared" si="46"/>
        <v>90</v>
      </c>
      <c r="M256" s="7">
        <f t="shared" si="40"/>
        <v>14131</v>
      </c>
      <c r="N256" s="2">
        <v>1</v>
      </c>
      <c r="O256" s="7">
        <f t="shared" si="38"/>
        <v>0.48</v>
      </c>
      <c r="P256" s="7">
        <f t="shared" si="47"/>
        <v>0.48</v>
      </c>
      <c r="Q256" s="2">
        <f>ステ計算型!$I$29</f>
        <v>1</v>
      </c>
      <c r="R256" s="2">
        <f>ステ計算型!$E$33</f>
        <v>0.2</v>
      </c>
      <c r="S256" s="7">
        <f t="shared" si="48"/>
        <v>5.484</v>
      </c>
      <c r="T256" s="2">
        <f>ステ計算型!$I$27</f>
        <v>1.1000000000000001</v>
      </c>
      <c r="U256" s="2">
        <f>ステ計算型!$J$29</f>
        <v>2</v>
      </c>
      <c r="V256" s="2">
        <f>ステ計算型!$F$32</f>
        <v>0.75</v>
      </c>
      <c r="W256" s="2">
        <f>ステ計算型!$G$34</f>
        <v>1</v>
      </c>
      <c r="X256" s="7">
        <f t="shared" si="44"/>
        <v>73499.965968000019</v>
      </c>
      <c r="Y256" s="7">
        <f t="shared" si="41"/>
        <v>400</v>
      </c>
      <c r="Z256" s="7">
        <f t="shared" si="42"/>
        <v>1</v>
      </c>
      <c r="AA256" s="38">
        <f>IF(L256&lt;ステ計算型!$A$20,0,1)</f>
        <v>0</v>
      </c>
      <c r="AB256" s="3">
        <f t="shared" si="43"/>
        <v>0</v>
      </c>
    </row>
    <row r="257" spans="1:28" ht="8.25" customHeight="1">
      <c r="A257" s="3">
        <f t="shared" si="39"/>
        <v>0</v>
      </c>
      <c r="B257" s="2">
        <f>ステ計算型!$B$2</f>
        <v>101</v>
      </c>
      <c r="C257" s="7">
        <f>VLOOKUP(B257,ポイント!$A$1:$D$43,4,FALSE)</f>
        <v>571</v>
      </c>
      <c r="D257" s="2">
        <f>ステ計算型!$B$4</f>
        <v>5</v>
      </c>
      <c r="E257" s="2">
        <f>ステ計算型!$B$6</f>
        <v>127</v>
      </c>
      <c r="F257" s="2">
        <f>ステ計算型!$B$8</f>
        <v>10</v>
      </c>
      <c r="G257" s="2">
        <f>ステ計算型!$B$9</f>
        <v>82</v>
      </c>
      <c r="H257" s="7">
        <f t="shared" si="45"/>
        <v>347</v>
      </c>
      <c r="I257" s="5">
        <f>ステ計算型!$K$3</f>
        <v>7390</v>
      </c>
      <c r="J257" s="5">
        <f>ステ計算型!$N$3</f>
        <v>66</v>
      </c>
      <c r="K257" s="5">
        <v>258</v>
      </c>
      <c r="L257" s="7">
        <f t="shared" si="46"/>
        <v>89</v>
      </c>
      <c r="M257" s="7">
        <f t="shared" si="40"/>
        <v>14056</v>
      </c>
      <c r="N257" s="2">
        <v>1</v>
      </c>
      <c r="O257" s="7">
        <f t="shared" si="38"/>
        <v>0.48</v>
      </c>
      <c r="P257" s="7">
        <f t="shared" si="47"/>
        <v>0.48</v>
      </c>
      <c r="Q257" s="2">
        <f>ステ計算型!$I$29</f>
        <v>1</v>
      </c>
      <c r="R257" s="2">
        <f>ステ計算型!$E$33</f>
        <v>0.2</v>
      </c>
      <c r="S257" s="7">
        <f t="shared" si="48"/>
        <v>5.4959999999999996</v>
      </c>
      <c r="T257" s="2">
        <f>ステ計算型!$I$27</f>
        <v>1.1000000000000001</v>
      </c>
      <c r="U257" s="2">
        <f>ステ計算型!$J$29</f>
        <v>2</v>
      </c>
      <c r="V257" s="2">
        <f>ステ計算型!$F$32</f>
        <v>0.75</v>
      </c>
      <c r="W257" s="2">
        <f>ステ計算型!$G$34</f>
        <v>1</v>
      </c>
      <c r="X257" s="7">
        <f t="shared" si="44"/>
        <v>73243.454592000009</v>
      </c>
      <c r="Y257" s="7">
        <f t="shared" si="41"/>
        <v>400</v>
      </c>
      <c r="Z257" s="7">
        <f t="shared" si="42"/>
        <v>1</v>
      </c>
      <c r="AA257" s="38">
        <f>IF(L257&lt;ステ計算型!$A$20,0,1)</f>
        <v>0</v>
      </c>
      <c r="AB257" s="3">
        <f t="shared" si="43"/>
        <v>0</v>
      </c>
    </row>
    <row r="258" spans="1:28" ht="8.25" customHeight="1">
      <c r="A258" s="3">
        <f t="shared" si="39"/>
        <v>0</v>
      </c>
      <c r="B258" s="2">
        <f>ステ計算型!$B$2</f>
        <v>101</v>
      </c>
      <c r="C258" s="7">
        <f>VLOOKUP(B258,ポイント!$A$1:$D$43,4,FALSE)</f>
        <v>571</v>
      </c>
      <c r="D258" s="2">
        <f>ステ計算型!$B$4</f>
        <v>5</v>
      </c>
      <c r="E258" s="2">
        <f>ステ計算型!$B$6</f>
        <v>127</v>
      </c>
      <c r="F258" s="2">
        <f>ステ計算型!$B$8</f>
        <v>10</v>
      </c>
      <c r="G258" s="2">
        <f>ステ計算型!$B$9</f>
        <v>82</v>
      </c>
      <c r="H258" s="7">
        <f t="shared" si="45"/>
        <v>347</v>
      </c>
      <c r="I258" s="5">
        <f>ステ計算型!$K$3</f>
        <v>7390</v>
      </c>
      <c r="J258" s="5">
        <f>ステ計算型!$N$3</f>
        <v>66</v>
      </c>
      <c r="K258" s="5">
        <v>259</v>
      </c>
      <c r="L258" s="7">
        <f t="shared" si="46"/>
        <v>88</v>
      </c>
      <c r="M258" s="7">
        <f t="shared" si="40"/>
        <v>13981</v>
      </c>
      <c r="N258" s="2">
        <v>1</v>
      </c>
      <c r="O258" s="7">
        <f t="shared" si="38"/>
        <v>0.48</v>
      </c>
      <c r="P258" s="7">
        <f t="shared" si="47"/>
        <v>0.48</v>
      </c>
      <c r="Q258" s="2">
        <f>ステ計算型!$I$29</f>
        <v>1</v>
      </c>
      <c r="R258" s="2">
        <f>ステ計算型!$E$33</f>
        <v>0.2</v>
      </c>
      <c r="S258" s="7">
        <f t="shared" si="48"/>
        <v>5.508</v>
      </c>
      <c r="T258" s="2">
        <f>ステ計算型!$I$27</f>
        <v>1.1000000000000001</v>
      </c>
      <c r="U258" s="2">
        <f>ステ計算型!$J$29</f>
        <v>2</v>
      </c>
      <c r="V258" s="2">
        <f>ステ計算型!$F$32</f>
        <v>0.75</v>
      </c>
      <c r="W258" s="2">
        <f>ステ計算型!$G$34</f>
        <v>1</v>
      </c>
      <c r="X258" s="7">
        <f t="shared" si="44"/>
        <v>72985.517615999997</v>
      </c>
      <c r="Y258" s="7">
        <f t="shared" si="41"/>
        <v>400</v>
      </c>
      <c r="Z258" s="7">
        <f t="shared" si="42"/>
        <v>1</v>
      </c>
      <c r="AA258" s="38">
        <f>IF(L258&lt;ステ計算型!$A$20,0,1)</f>
        <v>0</v>
      </c>
      <c r="AB258" s="3">
        <f t="shared" si="43"/>
        <v>0</v>
      </c>
    </row>
    <row r="259" spans="1:28" ht="8.25" customHeight="1">
      <c r="A259" s="3">
        <f t="shared" si="39"/>
        <v>0</v>
      </c>
      <c r="B259" s="2">
        <f>ステ計算型!$B$2</f>
        <v>101</v>
      </c>
      <c r="C259" s="7">
        <f>VLOOKUP(B259,ポイント!$A$1:$D$43,4,FALSE)</f>
        <v>571</v>
      </c>
      <c r="D259" s="2">
        <f>ステ計算型!$B$4</f>
        <v>5</v>
      </c>
      <c r="E259" s="2">
        <f>ステ計算型!$B$6</f>
        <v>127</v>
      </c>
      <c r="F259" s="2">
        <f>ステ計算型!$B$8</f>
        <v>10</v>
      </c>
      <c r="G259" s="2">
        <f>ステ計算型!$B$9</f>
        <v>82</v>
      </c>
      <c r="H259" s="7">
        <f t="shared" si="45"/>
        <v>347</v>
      </c>
      <c r="I259" s="5">
        <f>ステ計算型!$K$3</f>
        <v>7390</v>
      </c>
      <c r="J259" s="5">
        <f>ステ計算型!$N$3</f>
        <v>66</v>
      </c>
      <c r="K259" s="5">
        <v>260</v>
      </c>
      <c r="L259" s="7">
        <f t="shared" si="46"/>
        <v>87</v>
      </c>
      <c r="M259" s="7">
        <f t="shared" si="40"/>
        <v>13906</v>
      </c>
      <c r="N259" s="2">
        <v>1</v>
      </c>
      <c r="O259" s="7">
        <f t="shared" ref="O259:O322" si="49">ROUNDDOWN(((J259*(K259/100+1))/5)+1,0)/100*N259</f>
        <v>0.48</v>
      </c>
      <c r="P259" s="7">
        <f t="shared" si="47"/>
        <v>0.48</v>
      </c>
      <c r="Q259" s="2">
        <f>ステ計算型!$I$29</f>
        <v>1</v>
      </c>
      <c r="R259" s="2">
        <f>ステ計算型!$E$33</f>
        <v>0.2</v>
      </c>
      <c r="S259" s="7">
        <f t="shared" si="48"/>
        <v>5.52</v>
      </c>
      <c r="T259" s="2">
        <f>ステ計算型!$I$27</f>
        <v>1.1000000000000001</v>
      </c>
      <c r="U259" s="2">
        <f>ステ計算型!$J$29</f>
        <v>2</v>
      </c>
      <c r="V259" s="2">
        <f>ステ計算型!$F$32</f>
        <v>0.75</v>
      </c>
      <c r="W259" s="2">
        <f>ステ計算型!$G$34</f>
        <v>1</v>
      </c>
      <c r="X259" s="7">
        <f t="shared" si="44"/>
        <v>72726.155039999998</v>
      </c>
      <c r="Y259" s="7">
        <f t="shared" si="41"/>
        <v>400</v>
      </c>
      <c r="Z259" s="7">
        <f t="shared" si="42"/>
        <v>1</v>
      </c>
      <c r="AA259" s="38">
        <f>IF(L259&lt;ステ計算型!$A$20,0,1)</f>
        <v>0</v>
      </c>
      <c r="AB259" s="3">
        <f t="shared" si="43"/>
        <v>0</v>
      </c>
    </row>
    <row r="260" spans="1:28" ht="8.25" customHeight="1">
      <c r="A260" s="3">
        <f t="shared" si="39"/>
        <v>0</v>
      </c>
      <c r="B260" s="2">
        <f>ステ計算型!$B$2</f>
        <v>101</v>
      </c>
      <c r="C260" s="7">
        <f>VLOOKUP(B260,ポイント!$A$1:$D$43,4,FALSE)</f>
        <v>571</v>
      </c>
      <c r="D260" s="2">
        <f>ステ計算型!$B$4</f>
        <v>5</v>
      </c>
      <c r="E260" s="2">
        <f>ステ計算型!$B$6</f>
        <v>127</v>
      </c>
      <c r="F260" s="2">
        <f>ステ計算型!$B$8</f>
        <v>10</v>
      </c>
      <c r="G260" s="2">
        <f>ステ計算型!$B$9</f>
        <v>82</v>
      </c>
      <c r="H260" s="7">
        <f t="shared" si="45"/>
        <v>347</v>
      </c>
      <c r="I260" s="5">
        <f>ステ計算型!$K$3</f>
        <v>7390</v>
      </c>
      <c r="J260" s="5">
        <f>ステ計算型!$N$3</f>
        <v>66</v>
      </c>
      <c r="K260" s="5">
        <v>261</v>
      </c>
      <c r="L260" s="7">
        <f t="shared" si="46"/>
        <v>86</v>
      </c>
      <c r="M260" s="7">
        <f t="shared" si="40"/>
        <v>13831</v>
      </c>
      <c r="N260" s="2">
        <v>1</v>
      </c>
      <c r="O260" s="7">
        <f t="shared" si="49"/>
        <v>0.48</v>
      </c>
      <c r="P260" s="7">
        <f t="shared" si="47"/>
        <v>0.48</v>
      </c>
      <c r="Q260" s="2">
        <f>ステ計算型!$I$29</f>
        <v>1</v>
      </c>
      <c r="R260" s="2">
        <f>ステ計算型!$E$33</f>
        <v>0.2</v>
      </c>
      <c r="S260" s="7">
        <f t="shared" si="48"/>
        <v>5.5319999999999991</v>
      </c>
      <c r="T260" s="2">
        <f>ステ計算型!$I$27</f>
        <v>1.1000000000000001</v>
      </c>
      <c r="U260" s="2">
        <f>ステ計算型!$J$29</f>
        <v>2</v>
      </c>
      <c r="V260" s="2">
        <f>ステ計算型!$F$32</f>
        <v>0.75</v>
      </c>
      <c r="W260" s="2">
        <f>ステ計算型!$G$34</f>
        <v>1</v>
      </c>
      <c r="X260" s="7">
        <f t="shared" si="44"/>
        <v>72465.366863999996</v>
      </c>
      <c r="Y260" s="7">
        <f t="shared" si="41"/>
        <v>400</v>
      </c>
      <c r="Z260" s="7">
        <f t="shared" si="42"/>
        <v>1</v>
      </c>
      <c r="AA260" s="38">
        <f>IF(L260&lt;ステ計算型!$A$20,0,1)</f>
        <v>0</v>
      </c>
      <c r="AB260" s="3">
        <f t="shared" si="43"/>
        <v>0</v>
      </c>
    </row>
    <row r="261" spans="1:28" ht="8.25" customHeight="1">
      <c r="A261" s="3">
        <f t="shared" ref="A261:A324" si="50">X261*Z261*AA261</f>
        <v>0</v>
      </c>
      <c r="B261" s="2">
        <f>ステ計算型!$B$2</f>
        <v>101</v>
      </c>
      <c r="C261" s="7">
        <f>VLOOKUP(B261,ポイント!$A$1:$D$43,4,FALSE)</f>
        <v>571</v>
      </c>
      <c r="D261" s="2">
        <f>ステ計算型!$B$4</f>
        <v>5</v>
      </c>
      <c r="E261" s="2">
        <f>ステ計算型!$B$6</f>
        <v>127</v>
      </c>
      <c r="F261" s="2">
        <f>ステ計算型!$B$8</f>
        <v>10</v>
      </c>
      <c r="G261" s="2">
        <f>ステ計算型!$B$9</f>
        <v>82</v>
      </c>
      <c r="H261" s="7">
        <f t="shared" si="45"/>
        <v>347</v>
      </c>
      <c r="I261" s="5">
        <f>ステ計算型!$K$3</f>
        <v>7390</v>
      </c>
      <c r="J261" s="5">
        <f>ステ計算型!$N$3</f>
        <v>66</v>
      </c>
      <c r="K261" s="5">
        <v>262</v>
      </c>
      <c r="L261" s="7">
        <f t="shared" si="46"/>
        <v>85</v>
      </c>
      <c r="M261" s="7">
        <f t="shared" ref="M261:M324" si="51">ROUNDDOWN(I261*(L261/100+1)+L261,0)</f>
        <v>13756</v>
      </c>
      <c r="N261" s="2">
        <v>1</v>
      </c>
      <c r="O261" s="7">
        <f t="shared" si="49"/>
        <v>0.48</v>
      </c>
      <c r="P261" s="7">
        <f t="shared" si="47"/>
        <v>0.48</v>
      </c>
      <c r="Q261" s="2">
        <f>ステ計算型!$I$29</f>
        <v>1</v>
      </c>
      <c r="R261" s="2">
        <f>ステ計算型!$E$33</f>
        <v>0.2</v>
      </c>
      <c r="S261" s="7">
        <f t="shared" si="48"/>
        <v>5.5439999999999996</v>
      </c>
      <c r="T261" s="2">
        <f>ステ計算型!$I$27</f>
        <v>1.1000000000000001</v>
      </c>
      <c r="U261" s="2">
        <f>ステ計算型!$J$29</f>
        <v>2</v>
      </c>
      <c r="V261" s="2">
        <f>ステ計算型!$F$32</f>
        <v>0.75</v>
      </c>
      <c r="W261" s="2">
        <f>ステ計算型!$G$34</f>
        <v>1</v>
      </c>
      <c r="X261" s="7">
        <f t="shared" si="44"/>
        <v>72203.153087999992</v>
      </c>
      <c r="Y261" s="7">
        <f t="shared" ref="Y261:Y324" si="52">IF(B261&gt;99,400,350)</f>
        <v>400</v>
      </c>
      <c r="Z261" s="7">
        <f t="shared" ref="Z261:Z324" si="53">IF(L261&gt;Y261,0,1)</f>
        <v>1</v>
      </c>
      <c r="AA261" s="38">
        <f>IF(L261&lt;ステ計算型!$A$20,0,1)</f>
        <v>0</v>
      </c>
      <c r="AB261" s="3">
        <f t="shared" ref="AB261:AB324" si="54">X261*Z261*AA261</f>
        <v>0</v>
      </c>
    </row>
    <row r="262" spans="1:28" ht="8.25" customHeight="1">
      <c r="A262" s="3">
        <f t="shared" si="50"/>
        <v>0</v>
      </c>
      <c r="B262" s="2">
        <f>ステ計算型!$B$2</f>
        <v>101</v>
      </c>
      <c r="C262" s="7">
        <f>VLOOKUP(B262,ポイント!$A$1:$D$43,4,FALSE)</f>
        <v>571</v>
      </c>
      <c r="D262" s="2">
        <f>ステ計算型!$B$4</f>
        <v>5</v>
      </c>
      <c r="E262" s="2">
        <f>ステ計算型!$B$6</f>
        <v>127</v>
      </c>
      <c r="F262" s="2">
        <f>ステ計算型!$B$8</f>
        <v>10</v>
      </c>
      <c r="G262" s="2">
        <f>ステ計算型!$B$9</f>
        <v>82</v>
      </c>
      <c r="H262" s="7">
        <f t="shared" si="45"/>
        <v>347</v>
      </c>
      <c r="I262" s="5">
        <f>ステ計算型!$K$3</f>
        <v>7390</v>
      </c>
      <c r="J262" s="5">
        <f>ステ計算型!$N$3</f>
        <v>66</v>
      </c>
      <c r="K262" s="5">
        <v>263</v>
      </c>
      <c r="L262" s="7">
        <f t="shared" si="46"/>
        <v>84</v>
      </c>
      <c r="M262" s="7">
        <f t="shared" si="51"/>
        <v>13681</v>
      </c>
      <c r="N262" s="2">
        <v>1</v>
      </c>
      <c r="O262" s="7">
        <f t="shared" si="49"/>
        <v>0.48</v>
      </c>
      <c r="P262" s="7">
        <f t="shared" si="47"/>
        <v>0.48</v>
      </c>
      <c r="Q262" s="2">
        <f>ステ計算型!$I$29</f>
        <v>1</v>
      </c>
      <c r="R262" s="2">
        <f>ステ計算型!$E$33</f>
        <v>0.2</v>
      </c>
      <c r="S262" s="7">
        <f t="shared" si="48"/>
        <v>5.556</v>
      </c>
      <c r="T262" s="2">
        <f>ステ計算型!$I$27</f>
        <v>1.1000000000000001</v>
      </c>
      <c r="U262" s="2">
        <f>ステ計算型!$J$29</f>
        <v>2</v>
      </c>
      <c r="V262" s="2">
        <f>ステ計算型!$F$32</f>
        <v>0.75</v>
      </c>
      <c r="W262" s="2">
        <f>ステ計算型!$G$34</f>
        <v>1</v>
      </c>
      <c r="X262" s="7">
        <f t="shared" si="44"/>
        <v>71939.513712000014</v>
      </c>
      <c r="Y262" s="7">
        <f t="shared" si="52"/>
        <v>400</v>
      </c>
      <c r="Z262" s="7">
        <f t="shared" si="53"/>
        <v>1</v>
      </c>
      <c r="AA262" s="38">
        <f>IF(L262&lt;ステ計算型!$A$20,0,1)</f>
        <v>0</v>
      </c>
      <c r="AB262" s="3">
        <f t="shared" si="54"/>
        <v>0</v>
      </c>
    </row>
    <row r="263" spans="1:28" ht="8.25" customHeight="1">
      <c r="A263" s="3">
        <f t="shared" si="50"/>
        <v>0</v>
      </c>
      <c r="B263" s="2">
        <f>ステ計算型!$B$2</f>
        <v>101</v>
      </c>
      <c r="C263" s="7">
        <f>VLOOKUP(B263,ポイント!$A$1:$D$43,4,FALSE)</f>
        <v>571</v>
      </c>
      <c r="D263" s="2">
        <f>ステ計算型!$B$4</f>
        <v>5</v>
      </c>
      <c r="E263" s="2">
        <f>ステ計算型!$B$6</f>
        <v>127</v>
      </c>
      <c r="F263" s="2">
        <f>ステ計算型!$B$8</f>
        <v>10</v>
      </c>
      <c r="G263" s="2">
        <f>ステ計算型!$B$9</f>
        <v>82</v>
      </c>
      <c r="H263" s="7">
        <f t="shared" si="45"/>
        <v>347</v>
      </c>
      <c r="I263" s="5">
        <f>ステ計算型!$K$3</f>
        <v>7390</v>
      </c>
      <c r="J263" s="5">
        <f>ステ計算型!$N$3</f>
        <v>66</v>
      </c>
      <c r="K263" s="5">
        <v>264</v>
      </c>
      <c r="L263" s="7">
        <f t="shared" si="46"/>
        <v>83</v>
      </c>
      <c r="M263" s="7">
        <f t="shared" si="51"/>
        <v>13606</v>
      </c>
      <c r="N263" s="2">
        <v>1</v>
      </c>
      <c r="O263" s="7">
        <f t="shared" si="49"/>
        <v>0.49</v>
      </c>
      <c r="P263" s="7">
        <f t="shared" si="47"/>
        <v>0.49</v>
      </c>
      <c r="Q263" s="2">
        <f>ステ計算型!$I$29</f>
        <v>1</v>
      </c>
      <c r="R263" s="2">
        <f>ステ計算型!$E$33</f>
        <v>0.2</v>
      </c>
      <c r="S263" s="7">
        <f t="shared" si="48"/>
        <v>5.5680000000000005</v>
      </c>
      <c r="T263" s="2">
        <f>ステ計算型!$I$27</f>
        <v>1.1000000000000001</v>
      </c>
      <c r="U263" s="2">
        <f>ステ計算型!$J$29</f>
        <v>2</v>
      </c>
      <c r="V263" s="2">
        <f>ステ計算型!$F$32</f>
        <v>0.75</v>
      </c>
      <c r="W263" s="2">
        <f>ステ計算型!$G$34</f>
        <v>1</v>
      </c>
      <c r="X263" s="7">
        <f t="shared" si="44"/>
        <v>72699.960168000005</v>
      </c>
      <c r="Y263" s="7">
        <f t="shared" si="52"/>
        <v>400</v>
      </c>
      <c r="Z263" s="7">
        <f t="shared" si="53"/>
        <v>1</v>
      </c>
      <c r="AA263" s="38">
        <f>IF(L263&lt;ステ計算型!$A$20,0,1)</f>
        <v>0</v>
      </c>
      <c r="AB263" s="3">
        <f t="shared" si="54"/>
        <v>0</v>
      </c>
    </row>
    <row r="264" spans="1:28" ht="8.25" customHeight="1">
      <c r="A264" s="3">
        <f t="shared" si="50"/>
        <v>0</v>
      </c>
      <c r="B264" s="2">
        <f>ステ計算型!$B$2</f>
        <v>101</v>
      </c>
      <c r="C264" s="7">
        <f>VLOOKUP(B264,ポイント!$A$1:$D$43,4,FALSE)</f>
        <v>571</v>
      </c>
      <c r="D264" s="2">
        <f>ステ計算型!$B$4</f>
        <v>5</v>
      </c>
      <c r="E264" s="2">
        <f>ステ計算型!$B$6</f>
        <v>127</v>
      </c>
      <c r="F264" s="2">
        <f>ステ計算型!$B$8</f>
        <v>10</v>
      </c>
      <c r="G264" s="2">
        <f>ステ計算型!$B$9</f>
        <v>82</v>
      </c>
      <c r="H264" s="7">
        <f t="shared" si="45"/>
        <v>347</v>
      </c>
      <c r="I264" s="5">
        <f>ステ計算型!$K$3</f>
        <v>7390</v>
      </c>
      <c r="J264" s="5">
        <f>ステ計算型!$N$3</f>
        <v>66</v>
      </c>
      <c r="K264" s="5">
        <v>265</v>
      </c>
      <c r="L264" s="7">
        <f t="shared" si="46"/>
        <v>82</v>
      </c>
      <c r="M264" s="7">
        <f t="shared" si="51"/>
        <v>13531</v>
      </c>
      <c r="N264" s="2">
        <v>1</v>
      </c>
      <c r="O264" s="7">
        <f t="shared" si="49"/>
        <v>0.49</v>
      </c>
      <c r="P264" s="7">
        <f t="shared" si="47"/>
        <v>0.49</v>
      </c>
      <c r="Q264" s="2">
        <f>ステ計算型!$I$29</f>
        <v>1</v>
      </c>
      <c r="R264" s="2">
        <f>ステ計算型!$E$33</f>
        <v>0.2</v>
      </c>
      <c r="S264" s="7">
        <f t="shared" si="48"/>
        <v>5.58</v>
      </c>
      <c r="T264" s="2">
        <f>ステ計算型!$I$27</f>
        <v>1.1000000000000001</v>
      </c>
      <c r="U264" s="2">
        <f>ステ計算型!$J$29</f>
        <v>2</v>
      </c>
      <c r="V264" s="2">
        <f>ステ計算型!$F$32</f>
        <v>0.75</v>
      </c>
      <c r="W264" s="2">
        <f>ステ計算型!$G$34</f>
        <v>1</v>
      </c>
      <c r="X264" s="7">
        <f t="shared" si="44"/>
        <v>72430.49583</v>
      </c>
      <c r="Y264" s="7">
        <f t="shared" si="52"/>
        <v>400</v>
      </c>
      <c r="Z264" s="7">
        <f t="shared" si="53"/>
        <v>1</v>
      </c>
      <c r="AA264" s="38">
        <f>IF(L264&lt;ステ計算型!$A$20,0,1)</f>
        <v>0</v>
      </c>
      <c r="AB264" s="3">
        <f t="shared" si="54"/>
        <v>0</v>
      </c>
    </row>
    <row r="265" spans="1:28" ht="8.25" customHeight="1">
      <c r="A265" s="3">
        <f t="shared" si="50"/>
        <v>0</v>
      </c>
      <c r="B265" s="2">
        <f>ステ計算型!$B$2</f>
        <v>101</v>
      </c>
      <c r="C265" s="7">
        <f>VLOOKUP(B265,ポイント!$A$1:$D$43,4,FALSE)</f>
        <v>571</v>
      </c>
      <c r="D265" s="2">
        <f>ステ計算型!$B$4</f>
        <v>5</v>
      </c>
      <c r="E265" s="2">
        <f>ステ計算型!$B$6</f>
        <v>127</v>
      </c>
      <c r="F265" s="2">
        <f>ステ計算型!$B$8</f>
        <v>10</v>
      </c>
      <c r="G265" s="2">
        <f>ステ計算型!$B$9</f>
        <v>82</v>
      </c>
      <c r="H265" s="7">
        <f t="shared" si="45"/>
        <v>347</v>
      </c>
      <c r="I265" s="5">
        <f>ステ計算型!$K$3</f>
        <v>7390</v>
      </c>
      <c r="J265" s="5">
        <f>ステ計算型!$N$3</f>
        <v>66</v>
      </c>
      <c r="K265" s="5">
        <v>266</v>
      </c>
      <c r="L265" s="7">
        <f t="shared" si="46"/>
        <v>81</v>
      </c>
      <c r="M265" s="7">
        <f t="shared" si="51"/>
        <v>13456</v>
      </c>
      <c r="N265" s="2">
        <v>1</v>
      </c>
      <c r="O265" s="7">
        <f t="shared" si="49"/>
        <v>0.49</v>
      </c>
      <c r="P265" s="7">
        <f t="shared" si="47"/>
        <v>0.49</v>
      </c>
      <c r="Q265" s="2">
        <f>ステ計算型!$I$29</f>
        <v>1</v>
      </c>
      <c r="R265" s="2">
        <f>ステ計算型!$E$33</f>
        <v>0.2</v>
      </c>
      <c r="S265" s="7">
        <f t="shared" si="48"/>
        <v>5.5919999999999996</v>
      </c>
      <c r="T265" s="2">
        <f>ステ計算型!$I$27</f>
        <v>1.1000000000000001</v>
      </c>
      <c r="U265" s="2">
        <f>ステ計算型!$J$29</f>
        <v>2</v>
      </c>
      <c r="V265" s="2">
        <f>ステ計算型!$F$32</f>
        <v>0.75</v>
      </c>
      <c r="W265" s="2">
        <f>ステ計算型!$G$34</f>
        <v>1</v>
      </c>
      <c r="X265" s="7">
        <f t="shared" si="44"/>
        <v>72159.576191999993</v>
      </c>
      <c r="Y265" s="7">
        <f t="shared" si="52"/>
        <v>400</v>
      </c>
      <c r="Z265" s="7">
        <f t="shared" si="53"/>
        <v>1</v>
      </c>
      <c r="AA265" s="38">
        <f>IF(L265&lt;ステ計算型!$A$20,0,1)</f>
        <v>0</v>
      </c>
      <c r="AB265" s="3">
        <f t="shared" si="54"/>
        <v>0</v>
      </c>
    </row>
    <row r="266" spans="1:28" ht="8.25" customHeight="1">
      <c r="A266" s="3">
        <f t="shared" si="50"/>
        <v>0</v>
      </c>
      <c r="B266" s="2">
        <f>ステ計算型!$B$2</f>
        <v>101</v>
      </c>
      <c r="C266" s="7">
        <f>VLOOKUP(B266,ポイント!$A$1:$D$43,4,FALSE)</f>
        <v>571</v>
      </c>
      <c r="D266" s="2">
        <f>ステ計算型!$B$4</f>
        <v>5</v>
      </c>
      <c r="E266" s="2">
        <f>ステ計算型!$B$6</f>
        <v>127</v>
      </c>
      <c r="F266" s="2">
        <f>ステ計算型!$B$8</f>
        <v>10</v>
      </c>
      <c r="G266" s="2">
        <f>ステ計算型!$B$9</f>
        <v>82</v>
      </c>
      <c r="H266" s="7">
        <f t="shared" si="45"/>
        <v>347</v>
      </c>
      <c r="I266" s="5">
        <f>ステ計算型!$K$3</f>
        <v>7390</v>
      </c>
      <c r="J266" s="5">
        <f>ステ計算型!$N$3</f>
        <v>66</v>
      </c>
      <c r="K266" s="5">
        <v>267</v>
      </c>
      <c r="L266" s="7">
        <f t="shared" si="46"/>
        <v>80</v>
      </c>
      <c r="M266" s="7">
        <f t="shared" si="51"/>
        <v>13382</v>
      </c>
      <c r="N266" s="2">
        <v>1</v>
      </c>
      <c r="O266" s="7">
        <f t="shared" si="49"/>
        <v>0.49</v>
      </c>
      <c r="P266" s="7">
        <f t="shared" si="47"/>
        <v>0.49</v>
      </c>
      <c r="Q266" s="2">
        <f>ステ計算型!$I$29</f>
        <v>1</v>
      </c>
      <c r="R266" s="2">
        <f>ステ計算型!$E$33</f>
        <v>0.2</v>
      </c>
      <c r="S266" s="7">
        <f t="shared" si="48"/>
        <v>5.6040000000000001</v>
      </c>
      <c r="T266" s="2">
        <f>ステ計算型!$I$27</f>
        <v>1.1000000000000001</v>
      </c>
      <c r="U266" s="2">
        <f>ステ計算型!$J$29</f>
        <v>2</v>
      </c>
      <c r="V266" s="2">
        <f>ステ計算型!$F$32</f>
        <v>0.75</v>
      </c>
      <c r="W266" s="2">
        <f>ステ計算型!$G$34</f>
        <v>1</v>
      </c>
      <c r="X266" s="7">
        <f t="shared" si="44"/>
        <v>71892.573587999999</v>
      </c>
      <c r="Y266" s="7">
        <f t="shared" si="52"/>
        <v>400</v>
      </c>
      <c r="Z266" s="7">
        <f t="shared" si="53"/>
        <v>1</v>
      </c>
      <c r="AA266" s="38">
        <f>IF(L266&lt;ステ計算型!$A$20,0,1)</f>
        <v>0</v>
      </c>
      <c r="AB266" s="3">
        <f t="shared" si="54"/>
        <v>0</v>
      </c>
    </row>
    <row r="267" spans="1:28" ht="8.25" customHeight="1">
      <c r="A267" s="3">
        <f t="shared" si="50"/>
        <v>0</v>
      </c>
      <c r="B267" s="2">
        <f>ステ計算型!$B$2</f>
        <v>101</v>
      </c>
      <c r="C267" s="7">
        <f>VLOOKUP(B267,ポイント!$A$1:$D$43,4,FALSE)</f>
        <v>571</v>
      </c>
      <c r="D267" s="2">
        <f>ステ計算型!$B$4</f>
        <v>5</v>
      </c>
      <c r="E267" s="2">
        <f>ステ計算型!$B$6</f>
        <v>127</v>
      </c>
      <c r="F267" s="2">
        <f>ステ計算型!$B$8</f>
        <v>10</v>
      </c>
      <c r="G267" s="2">
        <f>ステ計算型!$B$9</f>
        <v>82</v>
      </c>
      <c r="H267" s="7">
        <f t="shared" si="45"/>
        <v>347</v>
      </c>
      <c r="I267" s="5">
        <f>ステ計算型!$K$3</f>
        <v>7390</v>
      </c>
      <c r="J267" s="5">
        <f>ステ計算型!$N$3</f>
        <v>66</v>
      </c>
      <c r="K267" s="5">
        <v>268</v>
      </c>
      <c r="L267" s="7">
        <f t="shared" si="46"/>
        <v>79</v>
      </c>
      <c r="M267" s="7">
        <f t="shared" si="51"/>
        <v>13307</v>
      </c>
      <c r="N267" s="2">
        <v>1</v>
      </c>
      <c r="O267" s="7">
        <f t="shared" si="49"/>
        <v>0.49</v>
      </c>
      <c r="P267" s="7">
        <f t="shared" si="47"/>
        <v>0.49</v>
      </c>
      <c r="Q267" s="2">
        <f>ステ計算型!$I$29</f>
        <v>1</v>
      </c>
      <c r="R267" s="2">
        <f>ステ計算型!$E$33</f>
        <v>0.2</v>
      </c>
      <c r="S267" s="7">
        <f t="shared" si="48"/>
        <v>5.6159999999999997</v>
      </c>
      <c r="T267" s="2">
        <f>ステ計算型!$I$27</f>
        <v>1.1000000000000001</v>
      </c>
      <c r="U267" s="2">
        <f>ステ計算型!$J$29</f>
        <v>2</v>
      </c>
      <c r="V267" s="2">
        <f>ステ計算型!$F$32</f>
        <v>0.75</v>
      </c>
      <c r="W267" s="2">
        <f>ステ計算型!$G$34</f>
        <v>1</v>
      </c>
      <c r="X267" s="7">
        <f t="shared" si="44"/>
        <v>71618.753051999985</v>
      </c>
      <c r="Y267" s="7">
        <f t="shared" si="52"/>
        <v>400</v>
      </c>
      <c r="Z267" s="7">
        <f t="shared" si="53"/>
        <v>1</v>
      </c>
      <c r="AA267" s="38">
        <f>IF(L267&lt;ステ計算型!$A$20,0,1)</f>
        <v>0</v>
      </c>
      <c r="AB267" s="3">
        <f t="shared" si="54"/>
        <v>0</v>
      </c>
    </row>
    <row r="268" spans="1:28" ht="8.25" customHeight="1">
      <c r="A268" s="3">
        <f t="shared" si="50"/>
        <v>0</v>
      </c>
      <c r="B268" s="2">
        <f>ステ計算型!$B$2</f>
        <v>101</v>
      </c>
      <c r="C268" s="7">
        <f>VLOOKUP(B268,ポイント!$A$1:$D$43,4,FALSE)</f>
        <v>571</v>
      </c>
      <c r="D268" s="2">
        <f>ステ計算型!$B$4</f>
        <v>5</v>
      </c>
      <c r="E268" s="2">
        <f>ステ計算型!$B$6</f>
        <v>127</v>
      </c>
      <c r="F268" s="2">
        <f>ステ計算型!$B$8</f>
        <v>10</v>
      </c>
      <c r="G268" s="2">
        <f>ステ計算型!$B$9</f>
        <v>82</v>
      </c>
      <c r="H268" s="7">
        <f t="shared" si="45"/>
        <v>347</v>
      </c>
      <c r="I268" s="5">
        <f>ステ計算型!$K$3</f>
        <v>7390</v>
      </c>
      <c r="J268" s="5">
        <f>ステ計算型!$N$3</f>
        <v>66</v>
      </c>
      <c r="K268" s="5">
        <v>269</v>
      </c>
      <c r="L268" s="7">
        <f t="shared" si="46"/>
        <v>78</v>
      </c>
      <c r="M268" s="7">
        <f t="shared" si="51"/>
        <v>13232</v>
      </c>
      <c r="N268" s="2">
        <v>1</v>
      </c>
      <c r="O268" s="7">
        <f t="shared" si="49"/>
        <v>0.49</v>
      </c>
      <c r="P268" s="7">
        <f t="shared" si="47"/>
        <v>0.49</v>
      </c>
      <c r="Q268" s="2">
        <f>ステ計算型!$I$29</f>
        <v>1</v>
      </c>
      <c r="R268" s="2">
        <f>ステ計算型!$E$33</f>
        <v>0.2</v>
      </c>
      <c r="S268" s="7">
        <f t="shared" si="48"/>
        <v>5.6279999999999992</v>
      </c>
      <c r="T268" s="2">
        <f>ステ計算型!$I$27</f>
        <v>1.1000000000000001</v>
      </c>
      <c r="U268" s="2">
        <f>ステ計算型!$J$29</f>
        <v>2</v>
      </c>
      <c r="V268" s="2">
        <f>ステ計算型!$F$32</f>
        <v>0.75</v>
      </c>
      <c r="W268" s="2">
        <f>ステ計算型!$G$34</f>
        <v>1</v>
      </c>
      <c r="X268" s="7">
        <f t="shared" si="44"/>
        <v>71343.477215999999</v>
      </c>
      <c r="Y268" s="7">
        <f t="shared" si="52"/>
        <v>400</v>
      </c>
      <c r="Z268" s="7">
        <f t="shared" si="53"/>
        <v>1</v>
      </c>
      <c r="AA268" s="38">
        <f>IF(L268&lt;ステ計算型!$A$20,0,1)</f>
        <v>0</v>
      </c>
      <c r="AB268" s="3">
        <f t="shared" si="54"/>
        <v>0</v>
      </c>
    </row>
    <row r="269" spans="1:28" ht="8.25" customHeight="1">
      <c r="A269" s="3">
        <f t="shared" si="50"/>
        <v>0</v>
      </c>
      <c r="B269" s="2">
        <f>ステ計算型!$B$2</f>
        <v>101</v>
      </c>
      <c r="C269" s="7">
        <f>VLOOKUP(B269,ポイント!$A$1:$D$43,4,FALSE)</f>
        <v>571</v>
      </c>
      <c r="D269" s="2">
        <f>ステ計算型!$B$4</f>
        <v>5</v>
      </c>
      <c r="E269" s="2">
        <f>ステ計算型!$B$6</f>
        <v>127</v>
      </c>
      <c r="F269" s="2">
        <f>ステ計算型!$B$8</f>
        <v>10</v>
      </c>
      <c r="G269" s="2">
        <f>ステ計算型!$B$9</f>
        <v>82</v>
      </c>
      <c r="H269" s="7">
        <f t="shared" si="45"/>
        <v>347</v>
      </c>
      <c r="I269" s="5">
        <f>ステ計算型!$K$3</f>
        <v>7390</v>
      </c>
      <c r="J269" s="5">
        <f>ステ計算型!$N$3</f>
        <v>66</v>
      </c>
      <c r="K269" s="5">
        <v>270</v>
      </c>
      <c r="L269" s="7">
        <f t="shared" si="46"/>
        <v>77</v>
      </c>
      <c r="M269" s="7">
        <f t="shared" si="51"/>
        <v>13157</v>
      </c>
      <c r="N269" s="2">
        <v>1</v>
      </c>
      <c r="O269" s="7">
        <f t="shared" si="49"/>
        <v>0.49</v>
      </c>
      <c r="P269" s="7">
        <f t="shared" si="47"/>
        <v>0.49</v>
      </c>
      <c r="Q269" s="2">
        <f>ステ計算型!$I$29</f>
        <v>1</v>
      </c>
      <c r="R269" s="2">
        <f>ステ計算型!$E$33</f>
        <v>0.2</v>
      </c>
      <c r="S269" s="7">
        <f t="shared" si="48"/>
        <v>5.64</v>
      </c>
      <c r="T269" s="2">
        <f>ステ計算型!$I$27</f>
        <v>1.1000000000000001</v>
      </c>
      <c r="U269" s="2">
        <f>ステ計算型!$J$29</f>
        <v>2</v>
      </c>
      <c r="V269" s="2">
        <f>ステ計算型!$F$32</f>
        <v>0.75</v>
      </c>
      <c r="W269" s="2">
        <f>ステ計算型!$G$34</f>
        <v>1</v>
      </c>
      <c r="X269" s="7">
        <f t="shared" si="44"/>
        <v>71066.746080000012</v>
      </c>
      <c r="Y269" s="7">
        <f t="shared" si="52"/>
        <v>400</v>
      </c>
      <c r="Z269" s="7">
        <f t="shared" si="53"/>
        <v>1</v>
      </c>
      <c r="AA269" s="38">
        <f>IF(L269&lt;ステ計算型!$A$20,0,1)</f>
        <v>0</v>
      </c>
      <c r="AB269" s="3">
        <f t="shared" si="54"/>
        <v>0</v>
      </c>
    </row>
    <row r="270" spans="1:28" ht="8.25" customHeight="1">
      <c r="A270" s="3">
        <f t="shared" si="50"/>
        <v>0</v>
      </c>
      <c r="B270" s="2">
        <f>ステ計算型!$B$2</f>
        <v>101</v>
      </c>
      <c r="C270" s="7">
        <f>VLOOKUP(B270,ポイント!$A$1:$D$43,4,FALSE)</f>
        <v>571</v>
      </c>
      <c r="D270" s="2">
        <f>ステ計算型!$B$4</f>
        <v>5</v>
      </c>
      <c r="E270" s="2">
        <f>ステ計算型!$B$6</f>
        <v>127</v>
      </c>
      <c r="F270" s="2">
        <f>ステ計算型!$B$8</f>
        <v>10</v>
      </c>
      <c r="G270" s="2">
        <f>ステ計算型!$B$9</f>
        <v>82</v>
      </c>
      <c r="H270" s="7">
        <f t="shared" si="45"/>
        <v>347</v>
      </c>
      <c r="I270" s="5">
        <f>ステ計算型!$K$3</f>
        <v>7390</v>
      </c>
      <c r="J270" s="5">
        <f>ステ計算型!$N$3</f>
        <v>66</v>
      </c>
      <c r="K270" s="5">
        <v>271</v>
      </c>
      <c r="L270" s="7">
        <f t="shared" si="46"/>
        <v>76</v>
      </c>
      <c r="M270" s="7">
        <f t="shared" si="51"/>
        <v>13082</v>
      </c>
      <c r="N270" s="2">
        <v>1</v>
      </c>
      <c r="O270" s="7">
        <f t="shared" si="49"/>
        <v>0.49</v>
      </c>
      <c r="P270" s="7">
        <f t="shared" si="47"/>
        <v>0.49</v>
      </c>
      <c r="Q270" s="2">
        <f>ステ計算型!$I$29</f>
        <v>1</v>
      </c>
      <c r="R270" s="2">
        <f>ステ計算型!$E$33</f>
        <v>0.2</v>
      </c>
      <c r="S270" s="7">
        <f t="shared" si="48"/>
        <v>5.6520000000000001</v>
      </c>
      <c r="T270" s="2">
        <f>ステ計算型!$I$27</f>
        <v>1.1000000000000001</v>
      </c>
      <c r="U270" s="2">
        <f>ステ計算型!$J$29</f>
        <v>2</v>
      </c>
      <c r="V270" s="2">
        <f>ステ計算型!$F$32</f>
        <v>0.75</v>
      </c>
      <c r="W270" s="2">
        <f>ステ計算型!$G$34</f>
        <v>1</v>
      </c>
      <c r="X270" s="7">
        <f t="shared" si="44"/>
        <v>70788.559644000023</v>
      </c>
      <c r="Y270" s="7">
        <f t="shared" si="52"/>
        <v>400</v>
      </c>
      <c r="Z270" s="7">
        <f t="shared" si="53"/>
        <v>1</v>
      </c>
      <c r="AA270" s="38">
        <f>IF(L270&lt;ステ計算型!$A$20,0,1)</f>
        <v>0</v>
      </c>
      <c r="AB270" s="3">
        <f t="shared" si="54"/>
        <v>0</v>
      </c>
    </row>
    <row r="271" spans="1:28" ht="8.25" customHeight="1">
      <c r="A271" s="3">
        <f t="shared" si="50"/>
        <v>0</v>
      </c>
      <c r="B271" s="2">
        <f>ステ計算型!$B$2</f>
        <v>101</v>
      </c>
      <c r="C271" s="7">
        <f>VLOOKUP(B271,ポイント!$A$1:$D$43,4,FALSE)</f>
        <v>571</v>
      </c>
      <c r="D271" s="2">
        <f>ステ計算型!$B$4</f>
        <v>5</v>
      </c>
      <c r="E271" s="2">
        <f>ステ計算型!$B$6</f>
        <v>127</v>
      </c>
      <c r="F271" s="2">
        <f>ステ計算型!$B$8</f>
        <v>10</v>
      </c>
      <c r="G271" s="2">
        <f>ステ計算型!$B$9</f>
        <v>82</v>
      </c>
      <c r="H271" s="7">
        <f t="shared" si="45"/>
        <v>347</v>
      </c>
      <c r="I271" s="5">
        <f>ステ計算型!$K$3</f>
        <v>7390</v>
      </c>
      <c r="J271" s="5">
        <f>ステ計算型!$N$3</f>
        <v>66</v>
      </c>
      <c r="K271" s="5">
        <v>272</v>
      </c>
      <c r="L271" s="7">
        <f t="shared" si="46"/>
        <v>75</v>
      </c>
      <c r="M271" s="7">
        <f t="shared" si="51"/>
        <v>13007</v>
      </c>
      <c r="N271" s="2">
        <v>1</v>
      </c>
      <c r="O271" s="7">
        <f t="shared" si="49"/>
        <v>0.5</v>
      </c>
      <c r="P271" s="7">
        <f t="shared" si="47"/>
        <v>0.5</v>
      </c>
      <c r="Q271" s="2">
        <f>ステ計算型!$I$29</f>
        <v>1</v>
      </c>
      <c r="R271" s="2">
        <f>ステ計算型!$E$33</f>
        <v>0.2</v>
      </c>
      <c r="S271" s="7">
        <f t="shared" si="48"/>
        <v>5.6640000000000006</v>
      </c>
      <c r="T271" s="2">
        <f>ステ計算型!$I$27</f>
        <v>1.1000000000000001</v>
      </c>
      <c r="U271" s="2">
        <f>ステ計算型!$J$29</f>
        <v>2</v>
      </c>
      <c r="V271" s="2">
        <f>ステ計算型!$F$32</f>
        <v>0.75</v>
      </c>
      <c r="W271" s="2">
        <f>ステ計算型!$G$34</f>
        <v>1</v>
      </c>
      <c r="X271" s="7">
        <f t="shared" si="44"/>
        <v>71509.884600000005</v>
      </c>
      <c r="Y271" s="7">
        <f t="shared" si="52"/>
        <v>400</v>
      </c>
      <c r="Z271" s="7">
        <f t="shared" si="53"/>
        <v>1</v>
      </c>
      <c r="AA271" s="38">
        <f>IF(L271&lt;ステ計算型!$A$20,0,1)</f>
        <v>0</v>
      </c>
      <c r="AB271" s="3">
        <f t="shared" si="54"/>
        <v>0</v>
      </c>
    </row>
    <row r="272" spans="1:28" ht="8.25" customHeight="1">
      <c r="A272" s="3">
        <f t="shared" si="50"/>
        <v>0</v>
      </c>
      <c r="B272" s="2">
        <f>ステ計算型!$B$2</f>
        <v>101</v>
      </c>
      <c r="C272" s="7">
        <f>VLOOKUP(B272,ポイント!$A$1:$D$43,4,FALSE)</f>
        <v>571</v>
      </c>
      <c r="D272" s="2">
        <f>ステ計算型!$B$4</f>
        <v>5</v>
      </c>
      <c r="E272" s="2">
        <f>ステ計算型!$B$6</f>
        <v>127</v>
      </c>
      <c r="F272" s="2">
        <f>ステ計算型!$B$8</f>
        <v>10</v>
      </c>
      <c r="G272" s="2">
        <f>ステ計算型!$B$9</f>
        <v>82</v>
      </c>
      <c r="H272" s="7">
        <f t="shared" si="45"/>
        <v>347</v>
      </c>
      <c r="I272" s="5">
        <f>ステ計算型!$K$3</f>
        <v>7390</v>
      </c>
      <c r="J272" s="5">
        <f>ステ計算型!$N$3</f>
        <v>66</v>
      </c>
      <c r="K272" s="5">
        <v>273</v>
      </c>
      <c r="L272" s="7">
        <f t="shared" si="46"/>
        <v>74</v>
      </c>
      <c r="M272" s="7">
        <f t="shared" si="51"/>
        <v>12932</v>
      </c>
      <c r="N272" s="2">
        <v>1</v>
      </c>
      <c r="O272" s="7">
        <f t="shared" si="49"/>
        <v>0.5</v>
      </c>
      <c r="P272" s="7">
        <f t="shared" si="47"/>
        <v>0.5</v>
      </c>
      <c r="Q272" s="2">
        <f>ステ計算型!$I$29</f>
        <v>1</v>
      </c>
      <c r="R272" s="2">
        <f>ステ計算型!$E$33</f>
        <v>0.2</v>
      </c>
      <c r="S272" s="7">
        <f t="shared" si="48"/>
        <v>5.6760000000000002</v>
      </c>
      <c r="T272" s="2">
        <f>ステ計算型!$I$27</f>
        <v>1.1000000000000001</v>
      </c>
      <c r="U272" s="2">
        <f>ステ計算型!$J$29</f>
        <v>2</v>
      </c>
      <c r="V272" s="2">
        <f>ステ計算型!$F$32</f>
        <v>0.75</v>
      </c>
      <c r="W272" s="2">
        <f>ステ計算型!$G$34</f>
        <v>1</v>
      </c>
      <c r="X272" s="7">
        <f t="shared" ref="X272:X335" si="55">M272*(P272*S272+1-P272)*T272*U272*V272*W272</f>
        <v>71225.57640000002</v>
      </c>
      <c r="Y272" s="7">
        <f t="shared" si="52"/>
        <v>400</v>
      </c>
      <c r="Z272" s="7">
        <f t="shared" si="53"/>
        <v>1</v>
      </c>
      <c r="AA272" s="38">
        <f>IF(L272&lt;ステ計算型!$A$20,0,1)</f>
        <v>0</v>
      </c>
      <c r="AB272" s="3">
        <f t="shared" si="54"/>
        <v>0</v>
      </c>
    </row>
    <row r="273" spans="1:28" ht="8.25" customHeight="1">
      <c r="A273" s="3">
        <f t="shared" si="50"/>
        <v>0</v>
      </c>
      <c r="B273" s="2">
        <f>ステ計算型!$B$2</f>
        <v>101</v>
      </c>
      <c r="C273" s="7">
        <f>VLOOKUP(B273,ポイント!$A$1:$D$43,4,FALSE)</f>
        <v>571</v>
      </c>
      <c r="D273" s="2">
        <f>ステ計算型!$B$4</f>
        <v>5</v>
      </c>
      <c r="E273" s="2">
        <f>ステ計算型!$B$6</f>
        <v>127</v>
      </c>
      <c r="F273" s="2">
        <f>ステ計算型!$B$8</f>
        <v>10</v>
      </c>
      <c r="G273" s="2">
        <f>ステ計算型!$B$9</f>
        <v>82</v>
      </c>
      <c r="H273" s="7">
        <f t="shared" ref="H273:H336" si="56">C273-D273-E273-F273-G273</f>
        <v>347</v>
      </c>
      <c r="I273" s="5">
        <f>ステ計算型!$K$3</f>
        <v>7390</v>
      </c>
      <c r="J273" s="5">
        <f>ステ計算型!$N$3</f>
        <v>66</v>
      </c>
      <c r="K273" s="5">
        <v>274</v>
      </c>
      <c r="L273" s="7">
        <f t="shared" ref="L273:L336" si="57">H273-K273</f>
        <v>73</v>
      </c>
      <c r="M273" s="7">
        <f t="shared" si="51"/>
        <v>12857</v>
      </c>
      <c r="N273" s="2">
        <v>1</v>
      </c>
      <c r="O273" s="7">
        <f t="shared" si="49"/>
        <v>0.5</v>
      </c>
      <c r="P273" s="7">
        <f t="shared" ref="P273:P336" si="58">IF(O273&gt;0.5,0.5,O273)</f>
        <v>0.5</v>
      </c>
      <c r="Q273" s="2">
        <f>ステ計算型!$I$29</f>
        <v>1</v>
      </c>
      <c r="R273" s="2">
        <f>ステ計算型!$E$33</f>
        <v>0.2</v>
      </c>
      <c r="S273" s="7">
        <f t="shared" ref="S273:S336" si="59">(K273/100+2)*Q273*(R273*2+1-R273)</f>
        <v>5.6879999999999997</v>
      </c>
      <c r="T273" s="2">
        <f>ステ計算型!$I$27</f>
        <v>1.1000000000000001</v>
      </c>
      <c r="U273" s="2">
        <f>ステ計算型!$J$29</f>
        <v>2</v>
      </c>
      <c r="V273" s="2">
        <f>ステ計算型!$F$32</f>
        <v>0.75</v>
      </c>
      <c r="W273" s="2">
        <f>ステ計算型!$G$34</f>
        <v>1</v>
      </c>
      <c r="X273" s="7">
        <f t="shared" si="55"/>
        <v>70939.783200000005</v>
      </c>
      <c r="Y273" s="7">
        <f t="shared" si="52"/>
        <v>400</v>
      </c>
      <c r="Z273" s="7">
        <f t="shared" si="53"/>
        <v>1</v>
      </c>
      <c r="AA273" s="38">
        <f>IF(L273&lt;ステ計算型!$A$20,0,1)</f>
        <v>0</v>
      </c>
      <c r="AB273" s="3">
        <f t="shared" si="54"/>
        <v>0</v>
      </c>
    </row>
    <row r="274" spans="1:28" ht="8.25" customHeight="1">
      <c r="A274" s="3">
        <f t="shared" si="50"/>
        <v>0</v>
      </c>
      <c r="B274" s="2">
        <f>ステ計算型!$B$2</f>
        <v>101</v>
      </c>
      <c r="C274" s="7">
        <f>VLOOKUP(B274,ポイント!$A$1:$D$43,4,FALSE)</f>
        <v>571</v>
      </c>
      <c r="D274" s="2">
        <f>ステ計算型!$B$4</f>
        <v>5</v>
      </c>
      <c r="E274" s="2">
        <f>ステ計算型!$B$6</f>
        <v>127</v>
      </c>
      <c r="F274" s="2">
        <f>ステ計算型!$B$8</f>
        <v>10</v>
      </c>
      <c r="G274" s="2">
        <f>ステ計算型!$B$9</f>
        <v>82</v>
      </c>
      <c r="H274" s="7">
        <f t="shared" si="56"/>
        <v>347</v>
      </c>
      <c r="I274" s="5">
        <f>ステ計算型!$K$3</f>
        <v>7390</v>
      </c>
      <c r="J274" s="5">
        <f>ステ計算型!$N$3</f>
        <v>66</v>
      </c>
      <c r="K274" s="5">
        <v>275</v>
      </c>
      <c r="L274" s="7">
        <f t="shared" si="57"/>
        <v>72</v>
      </c>
      <c r="M274" s="7">
        <f t="shared" si="51"/>
        <v>12782</v>
      </c>
      <c r="N274" s="2">
        <v>1</v>
      </c>
      <c r="O274" s="7">
        <f t="shared" si="49"/>
        <v>0.5</v>
      </c>
      <c r="P274" s="7">
        <f t="shared" si="58"/>
        <v>0.5</v>
      </c>
      <c r="Q274" s="2">
        <f>ステ計算型!$I$29</f>
        <v>1</v>
      </c>
      <c r="R274" s="2">
        <f>ステ計算型!$E$33</f>
        <v>0.2</v>
      </c>
      <c r="S274" s="7">
        <f t="shared" si="59"/>
        <v>5.7</v>
      </c>
      <c r="T274" s="2">
        <f>ステ計算型!$I$27</f>
        <v>1.1000000000000001</v>
      </c>
      <c r="U274" s="2">
        <f>ステ計算型!$J$29</f>
        <v>2</v>
      </c>
      <c r="V274" s="2">
        <f>ステ計算型!$F$32</f>
        <v>0.75</v>
      </c>
      <c r="W274" s="2">
        <f>ステ計算型!$G$34</f>
        <v>1</v>
      </c>
      <c r="X274" s="7">
        <f t="shared" si="55"/>
        <v>70652.505000000005</v>
      </c>
      <c r="Y274" s="7">
        <f t="shared" si="52"/>
        <v>400</v>
      </c>
      <c r="Z274" s="7">
        <f t="shared" si="53"/>
        <v>1</v>
      </c>
      <c r="AA274" s="38">
        <f>IF(L274&lt;ステ計算型!$A$20,0,1)</f>
        <v>0</v>
      </c>
      <c r="AB274" s="3">
        <f t="shared" si="54"/>
        <v>0</v>
      </c>
    </row>
    <row r="275" spans="1:28" ht="8.25" customHeight="1">
      <c r="A275" s="3">
        <f t="shared" si="50"/>
        <v>0</v>
      </c>
      <c r="B275" s="2">
        <f>ステ計算型!$B$2</f>
        <v>101</v>
      </c>
      <c r="C275" s="7">
        <f>VLOOKUP(B275,ポイント!$A$1:$D$43,4,FALSE)</f>
        <v>571</v>
      </c>
      <c r="D275" s="2">
        <f>ステ計算型!$B$4</f>
        <v>5</v>
      </c>
      <c r="E275" s="2">
        <f>ステ計算型!$B$6</f>
        <v>127</v>
      </c>
      <c r="F275" s="2">
        <f>ステ計算型!$B$8</f>
        <v>10</v>
      </c>
      <c r="G275" s="2">
        <f>ステ計算型!$B$9</f>
        <v>82</v>
      </c>
      <c r="H275" s="7">
        <f t="shared" si="56"/>
        <v>347</v>
      </c>
      <c r="I275" s="5">
        <f>ステ計算型!$K$3</f>
        <v>7390</v>
      </c>
      <c r="J275" s="5">
        <f>ステ計算型!$N$3</f>
        <v>66</v>
      </c>
      <c r="K275" s="5">
        <v>276</v>
      </c>
      <c r="L275" s="7">
        <f t="shared" si="57"/>
        <v>71</v>
      </c>
      <c r="M275" s="7">
        <f t="shared" si="51"/>
        <v>12707</v>
      </c>
      <c r="N275" s="2">
        <v>1</v>
      </c>
      <c r="O275" s="7">
        <f t="shared" si="49"/>
        <v>0.5</v>
      </c>
      <c r="P275" s="7">
        <f t="shared" si="58"/>
        <v>0.5</v>
      </c>
      <c r="Q275" s="2">
        <f>ステ計算型!$I$29</f>
        <v>1</v>
      </c>
      <c r="R275" s="2">
        <f>ステ計算型!$E$33</f>
        <v>0.2</v>
      </c>
      <c r="S275" s="7">
        <f t="shared" si="59"/>
        <v>5.7119999999999997</v>
      </c>
      <c r="T275" s="2">
        <f>ステ計算型!$I$27</f>
        <v>1.1000000000000001</v>
      </c>
      <c r="U275" s="2">
        <f>ステ計算型!$J$29</f>
        <v>2</v>
      </c>
      <c r="V275" s="2">
        <f>ステ計算型!$F$32</f>
        <v>0.75</v>
      </c>
      <c r="W275" s="2">
        <f>ステ計算型!$G$34</f>
        <v>1</v>
      </c>
      <c r="X275" s="7">
        <f t="shared" si="55"/>
        <v>70363.741800000003</v>
      </c>
      <c r="Y275" s="7">
        <f t="shared" si="52"/>
        <v>400</v>
      </c>
      <c r="Z275" s="7">
        <f t="shared" si="53"/>
        <v>1</v>
      </c>
      <c r="AA275" s="38">
        <f>IF(L275&lt;ステ計算型!$A$20,0,1)</f>
        <v>0</v>
      </c>
      <c r="AB275" s="3">
        <f t="shared" si="54"/>
        <v>0</v>
      </c>
    </row>
    <row r="276" spans="1:28" ht="8.25" customHeight="1">
      <c r="A276" s="3">
        <f t="shared" si="50"/>
        <v>0</v>
      </c>
      <c r="B276" s="2">
        <f>ステ計算型!$B$2</f>
        <v>101</v>
      </c>
      <c r="C276" s="7">
        <f>VLOOKUP(B276,ポイント!$A$1:$D$43,4,FALSE)</f>
        <v>571</v>
      </c>
      <c r="D276" s="2">
        <f>ステ計算型!$B$4</f>
        <v>5</v>
      </c>
      <c r="E276" s="2">
        <f>ステ計算型!$B$6</f>
        <v>127</v>
      </c>
      <c r="F276" s="2">
        <f>ステ計算型!$B$8</f>
        <v>10</v>
      </c>
      <c r="G276" s="2">
        <f>ステ計算型!$B$9</f>
        <v>82</v>
      </c>
      <c r="H276" s="7">
        <f t="shared" si="56"/>
        <v>347</v>
      </c>
      <c r="I276" s="5">
        <f>ステ計算型!$K$3</f>
        <v>7390</v>
      </c>
      <c r="J276" s="5">
        <f>ステ計算型!$N$3</f>
        <v>66</v>
      </c>
      <c r="K276" s="5">
        <v>277</v>
      </c>
      <c r="L276" s="7">
        <f t="shared" si="57"/>
        <v>70</v>
      </c>
      <c r="M276" s="7">
        <f t="shared" si="51"/>
        <v>12633</v>
      </c>
      <c r="N276" s="2">
        <v>1</v>
      </c>
      <c r="O276" s="7">
        <f t="shared" si="49"/>
        <v>0.5</v>
      </c>
      <c r="P276" s="7">
        <f t="shared" si="58"/>
        <v>0.5</v>
      </c>
      <c r="Q276" s="2">
        <f>ステ計算型!$I$29</f>
        <v>1</v>
      </c>
      <c r="R276" s="2">
        <f>ステ計算型!$E$33</f>
        <v>0.2</v>
      </c>
      <c r="S276" s="7">
        <f t="shared" si="59"/>
        <v>5.7239999999999993</v>
      </c>
      <c r="T276" s="2">
        <f>ステ計算型!$I$27</f>
        <v>1.1000000000000001</v>
      </c>
      <c r="U276" s="2">
        <f>ステ計算型!$J$29</f>
        <v>2</v>
      </c>
      <c r="V276" s="2">
        <f>ステ計算型!$F$32</f>
        <v>0.75</v>
      </c>
      <c r="W276" s="2">
        <f>ステ計算型!$G$34</f>
        <v>1</v>
      </c>
      <c r="X276" s="7">
        <f t="shared" si="55"/>
        <v>70079.040899999993</v>
      </c>
      <c r="Y276" s="7">
        <f t="shared" si="52"/>
        <v>400</v>
      </c>
      <c r="Z276" s="7">
        <f t="shared" si="53"/>
        <v>1</v>
      </c>
      <c r="AA276" s="38">
        <f>IF(L276&lt;ステ計算型!$A$20,0,1)</f>
        <v>0</v>
      </c>
      <c r="AB276" s="3">
        <f t="shared" si="54"/>
        <v>0</v>
      </c>
    </row>
    <row r="277" spans="1:28" ht="8.25" customHeight="1">
      <c r="A277" s="3">
        <f t="shared" si="50"/>
        <v>0</v>
      </c>
      <c r="B277" s="2">
        <f>ステ計算型!$B$2</f>
        <v>101</v>
      </c>
      <c r="C277" s="7">
        <f>VLOOKUP(B277,ポイント!$A$1:$D$43,4,FALSE)</f>
        <v>571</v>
      </c>
      <c r="D277" s="2">
        <f>ステ計算型!$B$4</f>
        <v>5</v>
      </c>
      <c r="E277" s="2">
        <f>ステ計算型!$B$6</f>
        <v>127</v>
      </c>
      <c r="F277" s="2">
        <f>ステ計算型!$B$8</f>
        <v>10</v>
      </c>
      <c r="G277" s="2">
        <f>ステ計算型!$B$9</f>
        <v>82</v>
      </c>
      <c r="H277" s="7">
        <f t="shared" si="56"/>
        <v>347</v>
      </c>
      <c r="I277" s="5">
        <f>ステ計算型!$K$3</f>
        <v>7390</v>
      </c>
      <c r="J277" s="5">
        <f>ステ計算型!$N$3</f>
        <v>66</v>
      </c>
      <c r="K277" s="5">
        <v>278</v>
      </c>
      <c r="L277" s="7">
        <f t="shared" si="57"/>
        <v>69</v>
      </c>
      <c r="M277" s="7">
        <f t="shared" si="51"/>
        <v>12558</v>
      </c>
      <c r="N277" s="2">
        <v>1</v>
      </c>
      <c r="O277" s="7">
        <f t="shared" si="49"/>
        <v>0.5</v>
      </c>
      <c r="P277" s="7">
        <f t="shared" si="58"/>
        <v>0.5</v>
      </c>
      <c r="Q277" s="2">
        <f>ステ計算型!$I$29</f>
        <v>1</v>
      </c>
      <c r="R277" s="2">
        <f>ステ計算型!$E$33</f>
        <v>0.2</v>
      </c>
      <c r="S277" s="7">
        <f t="shared" si="59"/>
        <v>5.7359999999999989</v>
      </c>
      <c r="T277" s="2">
        <f>ステ計算型!$I$27</f>
        <v>1.1000000000000001</v>
      </c>
      <c r="U277" s="2">
        <f>ステ計算型!$J$29</f>
        <v>2</v>
      </c>
      <c r="V277" s="2">
        <f>ステ計算型!$F$32</f>
        <v>0.75</v>
      </c>
      <c r="W277" s="2">
        <f>ステ計算型!$G$34</f>
        <v>1</v>
      </c>
      <c r="X277" s="7">
        <f t="shared" si="55"/>
        <v>69787.317599999995</v>
      </c>
      <c r="Y277" s="7">
        <f t="shared" si="52"/>
        <v>400</v>
      </c>
      <c r="Z277" s="7">
        <f t="shared" si="53"/>
        <v>1</v>
      </c>
      <c r="AA277" s="38">
        <f>IF(L277&lt;ステ計算型!$A$20,0,1)</f>
        <v>0</v>
      </c>
      <c r="AB277" s="3">
        <f t="shared" si="54"/>
        <v>0</v>
      </c>
    </row>
    <row r="278" spans="1:28" ht="8.25" customHeight="1">
      <c r="A278" s="3">
        <f t="shared" si="50"/>
        <v>0</v>
      </c>
      <c r="B278" s="2">
        <f>ステ計算型!$B$2</f>
        <v>101</v>
      </c>
      <c r="C278" s="7">
        <f>VLOOKUP(B278,ポイント!$A$1:$D$43,4,FALSE)</f>
        <v>571</v>
      </c>
      <c r="D278" s="2">
        <f>ステ計算型!$B$4</f>
        <v>5</v>
      </c>
      <c r="E278" s="2">
        <f>ステ計算型!$B$6</f>
        <v>127</v>
      </c>
      <c r="F278" s="2">
        <f>ステ計算型!$B$8</f>
        <v>10</v>
      </c>
      <c r="G278" s="2">
        <f>ステ計算型!$B$9</f>
        <v>82</v>
      </c>
      <c r="H278" s="7">
        <f t="shared" si="56"/>
        <v>347</v>
      </c>
      <c r="I278" s="5">
        <f>ステ計算型!$K$3</f>
        <v>7390</v>
      </c>
      <c r="J278" s="5">
        <f>ステ計算型!$N$3</f>
        <v>66</v>
      </c>
      <c r="K278" s="5">
        <v>279</v>
      </c>
      <c r="L278" s="7">
        <f t="shared" si="57"/>
        <v>68</v>
      </c>
      <c r="M278" s="7">
        <f t="shared" si="51"/>
        <v>12483</v>
      </c>
      <c r="N278" s="2">
        <v>1</v>
      </c>
      <c r="O278" s="7">
        <f t="shared" si="49"/>
        <v>0.51</v>
      </c>
      <c r="P278" s="7">
        <f t="shared" si="58"/>
        <v>0.5</v>
      </c>
      <c r="Q278" s="2">
        <f>ステ計算型!$I$29</f>
        <v>1</v>
      </c>
      <c r="R278" s="2">
        <f>ステ計算型!$E$33</f>
        <v>0.2</v>
      </c>
      <c r="S278" s="7">
        <f t="shared" si="59"/>
        <v>5.7480000000000002</v>
      </c>
      <c r="T278" s="2">
        <f>ステ計算型!$I$27</f>
        <v>1.1000000000000001</v>
      </c>
      <c r="U278" s="2">
        <f>ステ計算型!$J$29</f>
        <v>2</v>
      </c>
      <c r="V278" s="2">
        <f>ステ計算型!$F$32</f>
        <v>0.75</v>
      </c>
      <c r="W278" s="2">
        <f>ステ計算型!$G$34</f>
        <v>1</v>
      </c>
      <c r="X278" s="7">
        <f t="shared" si="55"/>
        <v>69494.109300000011</v>
      </c>
      <c r="Y278" s="7">
        <f t="shared" si="52"/>
        <v>400</v>
      </c>
      <c r="Z278" s="7">
        <f t="shared" si="53"/>
        <v>1</v>
      </c>
      <c r="AA278" s="38">
        <f>IF(L278&lt;ステ計算型!$A$20,0,1)</f>
        <v>0</v>
      </c>
      <c r="AB278" s="3">
        <f t="shared" si="54"/>
        <v>0</v>
      </c>
    </row>
    <row r="279" spans="1:28" ht="8.25" customHeight="1">
      <c r="A279" s="3">
        <f t="shared" si="50"/>
        <v>0</v>
      </c>
      <c r="B279" s="2">
        <f>ステ計算型!$B$2</f>
        <v>101</v>
      </c>
      <c r="C279" s="7">
        <f>VLOOKUP(B279,ポイント!$A$1:$D$43,4,FALSE)</f>
        <v>571</v>
      </c>
      <c r="D279" s="2">
        <f>ステ計算型!$B$4</f>
        <v>5</v>
      </c>
      <c r="E279" s="2">
        <f>ステ計算型!$B$6</f>
        <v>127</v>
      </c>
      <c r="F279" s="2">
        <f>ステ計算型!$B$8</f>
        <v>10</v>
      </c>
      <c r="G279" s="2">
        <f>ステ計算型!$B$9</f>
        <v>82</v>
      </c>
      <c r="H279" s="7">
        <f t="shared" si="56"/>
        <v>347</v>
      </c>
      <c r="I279" s="5">
        <f>ステ計算型!$K$3</f>
        <v>7390</v>
      </c>
      <c r="J279" s="5">
        <f>ステ計算型!$N$3</f>
        <v>66</v>
      </c>
      <c r="K279" s="5">
        <v>280</v>
      </c>
      <c r="L279" s="7">
        <f t="shared" si="57"/>
        <v>67</v>
      </c>
      <c r="M279" s="7">
        <f t="shared" si="51"/>
        <v>12408</v>
      </c>
      <c r="N279" s="2">
        <v>1</v>
      </c>
      <c r="O279" s="7">
        <f t="shared" si="49"/>
        <v>0.51</v>
      </c>
      <c r="P279" s="7">
        <f t="shared" si="58"/>
        <v>0.5</v>
      </c>
      <c r="Q279" s="2">
        <f>ステ計算型!$I$29</f>
        <v>1</v>
      </c>
      <c r="R279" s="2">
        <f>ステ計算型!$E$33</f>
        <v>0.2</v>
      </c>
      <c r="S279" s="7">
        <f t="shared" si="59"/>
        <v>5.76</v>
      </c>
      <c r="T279" s="2">
        <f>ステ計算型!$I$27</f>
        <v>1.1000000000000001</v>
      </c>
      <c r="U279" s="2">
        <f>ステ計算型!$J$29</f>
        <v>2</v>
      </c>
      <c r="V279" s="2">
        <f>ステ計算型!$F$32</f>
        <v>0.75</v>
      </c>
      <c r="W279" s="2">
        <f>ステ計算型!$G$34</f>
        <v>1</v>
      </c>
      <c r="X279" s="7">
        <f t="shared" si="55"/>
        <v>69199.415999999997</v>
      </c>
      <c r="Y279" s="7">
        <f t="shared" si="52"/>
        <v>400</v>
      </c>
      <c r="Z279" s="7">
        <f t="shared" si="53"/>
        <v>1</v>
      </c>
      <c r="AA279" s="38">
        <f>IF(L279&lt;ステ計算型!$A$20,0,1)</f>
        <v>0</v>
      </c>
      <c r="AB279" s="3">
        <f t="shared" si="54"/>
        <v>0</v>
      </c>
    </row>
    <row r="280" spans="1:28" ht="8.25" customHeight="1">
      <c r="A280" s="3">
        <f t="shared" si="50"/>
        <v>0</v>
      </c>
      <c r="B280" s="2">
        <f>ステ計算型!$B$2</f>
        <v>101</v>
      </c>
      <c r="C280" s="7">
        <f>VLOOKUP(B280,ポイント!$A$1:$D$43,4,FALSE)</f>
        <v>571</v>
      </c>
      <c r="D280" s="2">
        <f>ステ計算型!$B$4</f>
        <v>5</v>
      </c>
      <c r="E280" s="2">
        <f>ステ計算型!$B$6</f>
        <v>127</v>
      </c>
      <c r="F280" s="2">
        <f>ステ計算型!$B$8</f>
        <v>10</v>
      </c>
      <c r="G280" s="2">
        <f>ステ計算型!$B$9</f>
        <v>82</v>
      </c>
      <c r="H280" s="7">
        <f t="shared" si="56"/>
        <v>347</v>
      </c>
      <c r="I280" s="5">
        <f>ステ計算型!$K$3</f>
        <v>7390</v>
      </c>
      <c r="J280" s="5">
        <f>ステ計算型!$N$3</f>
        <v>66</v>
      </c>
      <c r="K280" s="5">
        <v>281</v>
      </c>
      <c r="L280" s="7">
        <f t="shared" si="57"/>
        <v>66</v>
      </c>
      <c r="M280" s="7">
        <f t="shared" si="51"/>
        <v>12333</v>
      </c>
      <c r="N280" s="2">
        <v>1</v>
      </c>
      <c r="O280" s="7">
        <f t="shared" si="49"/>
        <v>0.51</v>
      </c>
      <c r="P280" s="7">
        <f t="shared" si="58"/>
        <v>0.5</v>
      </c>
      <c r="Q280" s="2">
        <f>ステ計算型!$I$29</f>
        <v>1</v>
      </c>
      <c r="R280" s="2">
        <f>ステ計算型!$E$33</f>
        <v>0.2</v>
      </c>
      <c r="S280" s="7">
        <f t="shared" si="59"/>
        <v>5.7720000000000002</v>
      </c>
      <c r="T280" s="2">
        <f>ステ計算型!$I$27</f>
        <v>1.1000000000000001</v>
      </c>
      <c r="U280" s="2">
        <f>ステ計算型!$J$29</f>
        <v>2</v>
      </c>
      <c r="V280" s="2">
        <f>ステ計算型!$F$32</f>
        <v>0.75</v>
      </c>
      <c r="W280" s="2">
        <f>ステ計算型!$G$34</f>
        <v>1</v>
      </c>
      <c r="X280" s="7">
        <f t="shared" si="55"/>
        <v>68903.237699999998</v>
      </c>
      <c r="Y280" s="7">
        <f t="shared" si="52"/>
        <v>400</v>
      </c>
      <c r="Z280" s="7">
        <f t="shared" si="53"/>
        <v>1</v>
      </c>
      <c r="AA280" s="38">
        <f>IF(L280&lt;ステ計算型!$A$20,0,1)</f>
        <v>0</v>
      </c>
      <c r="AB280" s="3">
        <f t="shared" si="54"/>
        <v>0</v>
      </c>
    </row>
    <row r="281" spans="1:28" ht="8.25" customHeight="1">
      <c r="A281" s="3">
        <f t="shared" si="50"/>
        <v>0</v>
      </c>
      <c r="B281" s="2">
        <f>ステ計算型!$B$2</f>
        <v>101</v>
      </c>
      <c r="C281" s="7">
        <f>VLOOKUP(B281,ポイント!$A$1:$D$43,4,FALSE)</f>
        <v>571</v>
      </c>
      <c r="D281" s="2">
        <f>ステ計算型!$B$4</f>
        <v>5</v>
      </c>
      <c r="E281" s="2">
        <f>ステ計算型!$B$6</f>
        <v>127</v>
      </c>
      <c r="F281" s="2">
        <f>ステ計算型!$B$8</f>
        <v>10</v>
      </c>
      <c r="G281" s="2">
        <f>ステ計算型!$B$9</f>
        <v>82</v>
      </c>
      <c r="H281" s="7">
        <f t="shared" si="56"/>
        <v>347</v>
      </c>
      <c r="I281" s="5">
        <f>ステ計算型!$K$3</f>
        <v>7390</v>
      </c>
      <c r="J281" s="5">
        <f>ステ計算型!$N$3</f>
        <v>66</v>
      </c>
      <c r="K281" s="5">
        <v>282</v>
      </c>
      <c r="L281" s="7">
        <f t="shared" si="57"/>
        <v>65</v>
      </c>
      <c r="M281" s="7">
        <f t="shared" si="51"/>
        <v>12258</v>
      </c>
      <c r="N281" s="2">
        <v>1</v>
      </c>
      <c r="O281" s="7">
        <f t="shared" si="49"/>
        <v>0.51</v>
      </c>
      <c r="P281" s="7">
        <f t="shared" si="58"/>
        <v>0.5</v>
      </c>
      <c r="Q281" s="2">
        <f>ステ計算型!$I$29</f>
        <v>1</v>
      </c>
      <c r="R281" s="2">
        <f>ステ計算型!$E$33</f>
        <v>0.2</v>
      </c>
      <c r="S281" s="7">
        <f t="shared" si="59"/>
        <v>5.7839999999999998</v>
      </c>
      <c r="T281" s="2">
        <f>ステ計算型!$I$27</f>
        <v>1.1000000000000001</v>
      </c>
      <c r="U281" s="2">
        <f>ステ計算型!$J$29</f>
        <v>2</v>
      </c>
      <c r="V281" s="2">
        <f>ステ計算型!$F$32</f>
        <v>0.75</v>
      </c>
      <c r="W281" s="2">
        <f>ステ計算型!$G$34</f>
        <v>1</v>
      </c>
      <c r="X281" s="7">
        <f t="shared" si="55"/>
        <v>68605.574400000012</v>
      </c>
      <c r="Y281" s="7">
        <f t="shared" si="52"/>
        <v>400</v>
      </c>
      <c r="Z281" s="7">
        <f t="shared" si="53"/>
        <v>1</v>
      </c>
      <c r="AA281" s="38">
        <f>IF(L281&lt;ステ計算型!$A$20,0,1)</f>
        <v>0</v>
      </c>
      <c r="AB281" s="3">
        <f t="shared" si="54"/>
        <v>0</v>
      </c>
    </row>
    <row r="282" spans="1:28" ht="8.25" customHeight="1">
      <c r="A282" s="3">
        <f t="shared" si="50"/>
        <v>0</v>
      </c>
      <c r="B282" s="2">
        <f>ステ計算型!$B$2</f>
        <v>101</v>
      </c>
      <c r="C282" s="7">
        <f>VLOOKUP(B282,ポイント!$A$1:$D$43,4,FALSE)</f>
        <v>571</v>
      </c>
      <c r="D282" s="2">
        <f>ステ計算型!$B$4</f>
        <v>5</v>
      </c>
      <c r="E282" s="2">
        <f>ステ計算型!$B$6</f>
        <v>127</v>
      </c>
      <c r="F282" s="2">
        <f>ステ計算型!$B$8</f>
        <v>10</v>
      </c>
      <c r="G282" s="2">
        <f>ステ計算型!$B$9</f>
        <v>82</v>
      </c>
      <c r="H282" s="7">
        <f t="shared" si="56"/>
        <v>347</v>
      </c>
      <c r="I282" s="5">
        <f>ステ計算型!$K$3</f>
        <v>7390</v>
      </c>
      <c r="J282" s="5">
        <f>ステ計算型!$N$3</f>
        <v>66</v>
      </c>
      <c r="K282" s="5">
        <v>283</v>
      </c>
      <c r="L282" s="7">
        <f t="shared" si="57"/>
        <v>64</v>
      </c>
      <c r="M282" s="7">
        <f t="shared" si="51"/>
        <v>12183</v>
      </c>
      <c r="N282" s="2">
        <v>1</v>
      </c>
      <c r="O282" s="7">
        <f t="shared" si="49"/>
        <v>0.51</v>
      </c>
      <c r="P282" s="7">
        <f t="shared" si="58"/>
        <v>0.5</v>
      </c>
      <c r="Q282" s="2">
        <f>ステ計算型!$I$29</f>
        <v>1</v>
      </c>
      <c r="R282" s="2">
        <f>ステ計算型!$E$33</f>
        <v>0.2</v>
      </c>
      <c r="S282" s="7">
        <f t="shared" si="59"/>
        <v>5.7960000000000003</v>
      </c>
      <c r="T282" s="2">
        <f>ステ計算型!$I$27</f>
        <v>1.1000000000000001</v>
      </c>
      <c r="U282" s="2">
        <f>ステ計算型!$J$29</f>
        <v>2</v>
      </c>
      <c r="V282" s="2">
        <f>ステ計算型!$F$32</f>
        <v>0.75</v>
      </c>
      <c r="W282" s="2">
        <f>ステ計算型!$G$34</f>
        <v>1</v>
      </c>
      <c r="X282" s="7">
        <f t="shared" si="55"/>
        <v>68306.426100000012</v>
      </c>
      <c r="Y282" s="7">
        <f t="shared" si="52"/>
        <v>400</v>
      </c>
      <c r="Z282" s="7">
        <f t="shared" si="53"/>
        <v>1</v>
      </c>
      <c r="AA282" s="38">
        <f>IF(L282&lt;ステ計算型!$A$20,0,1)</f>
        <v>0</v>
      </c>
      <c r="AB282" s="3">
        <f t="shared" si="54"/>
        <v>0</v>
      </c>
    </row>
    <row r="283" spans="1:28" ht="8.25" customHeight="1">
      <c r="A283" s="3">
        <f t="shared" si="50"/>
        <v>0</v>
      </c>
      <c r="B283" s="2">
        <f>ステ計算型!$B$2</f>
        <v>101</v>
      </c>
      <c r="C283" s="7">
        <f>VLOOKUP(B283,ポイント!$A$1:$D$43,4,FALSE)</f>
        <v>571</v>
      </c>
      <c r="D283" s="2">
        <f>ステ計算型!$B$4</f>
        <v>5</v>
      </c>
      <c r="E283" s="2">
        <f>ステ計算型!$B$6</f>
        <v>127</v>
      </c>
      <c r="F283" s="2">
        <f>ステ計算型!$B$8</f>
        <v>10</v>
      </c>
      <c r="G283" s="2">
        <f>ステ計算型!$B$9</f>
        <v>82</v>
      </c>
      <c r="H283" s="7">
        <f t="shared" si="56"/>
        <v>347</v>
      </c>
      <c r="I283" s="5">
        <f>ステ計算型!$K$3</f>
        <v>7390</v>
      </c>
      <c r="J283" s="5">
        <f>ステ計算型!$N$3</f>
        <v>66</v>
      </c>
      <c r="K283" s="5">
        <v>284</v>
      </c>
      <c r="L283" s="7">
        <f t="shared" si="57"/>
        <v>63</v>
      </c>
      <c r="M283" s="7">
        <f t="shared" si="51"/>
        <v>12108</v>
      </c>
      <c r="N283" s="2">
        <v>1</v>
      </c>
      <c r="O283" s="7">
        <f t="shared" si="49"/>
        <v>0.51</v>
      </c>
      <c r="P283" s="7">
        <f t="shared" si="58"/>
        <v>0.5</v>
      </c>
      <c r="Q283" s="2">
        <f>ステ計算型!$I$29</f>
        <v>1</v>
      </c>
      <c r="R283" s="2">
        <f>ステ計算型!$E$33</f>
        <v>0.2</v>
      </c>
      <c r="S283" s="7">
        <f t="shared" si="59"/>
        <v>5.8079999999999998</v>
      </c>
      <c r="T283" s="2">
        <f>ステ計算型!$I$27</f>
        <v>1.1000000000000001</v>
      </c>
      <c r="U283" s="2">
        <f>ステ計算型!$J$29</f>
        <v>2</v>
      </c>
      <c r="V283" s="2">
        <f>ステ計算型!$F$32</f>
        <v>0.75</v>
      </c>
      <c r="W283" s="2">
        <f>ステ計算型!$G$34</f>
        <v>1</v>
      </c>
      <c r="X283" s="7">
        <f t="shared" si="55"/>
        <v>68005.792799999996</v>
      </c>
      <c r="Y283" s="7">
        <f t="shared" si="52"/>
        <v>400</v>
      </c>
      <c r="Z283" s="7">
        <f t="shared" si="53"/>
        <v>1</v>
      </c>
      <c r="AA283" s="38">
        <f>IF(L283&lt;ステ計算型!$A$20,0,1)</f>
        <v>0</v>
      </c>
      <c r="AB283" s="3">
        <f t="shared" si="54"/>
        <v>0</v>
      </c>
    </row>
    <row r="284" spans="1:28" ht="8.25" customHeight="1">
      <c r="A284" s="3">
        <f t="shared" si="50"/>
        <v>0</v>
      </c>
      <c r="B284" s="2">
        <f>ステ計算型!$B$2</f>
        <v>101</v>
      </c>
      <c r="C284" s="7">
        <f>VLOOKUP(B284,ポイント!$A$1:$D$43,4,FALSE)</f>
        <v>571</v>
      </c>
      <c r="D284" s="2">
        <f>ステ計算型!$B$4</f>
        <v>5</v>
      </c>
      <c r="E284" s="2">
        <f>ステ計算型!$B$6</f>
        <v>127</v>
      </c>
      <c r="F284" s="2">
        <f>ステ計算型!$B$8</f>
        <v>10</v>
      </c>
      <c r="G284" s="2">
        <f>ステ計算型!$B$9</f>
        <v>82</v>
      </c>
      <c r="H284" s="7">
        <f t="shared" si="56"/>
        <v>347</v>
      </c>
      <c r="I284" s="5">
        <f>ステ計算型!$K$3</f>
        <v>7390</v>
      </c>
      <c r="J284" s="5">
        <f>ステ計算型!$N$3</f>
        <v>66</v>
      </c>
      <c r="K284" s="5">
        <v>285</v>
      </c>
      <c r="L284" s="7">
        <f t="shared" si="57"/>
        <v>62</v>
      </c>
      <c r="M284" s="7">
        <f t="shared" si="51"/>
        <v>12033</v>
      </c>
      <c r="N284" s="2">
        <v>1</v>
      </c>
      <c r="O284" s="7">
        <f t="shared" si="49"/>
        <v>0.51</v>
      </c>
      <c r="P284" s="7">
        <f t="shared" si="58"/>
        <v>0.5</v>
      </c>
      <c r="Q284" s="2">
        <f>ステ計算型!$I$29</f>
        <v>1</v>
      </c>
      <c r="R284" s="2">
        <f>ステ計算型!$E$33</f>
        <v>0.2</v>
      </c>
      <c r="S284" s="7">
        <f t="shared" si="59"/>
        <v>5.8199999999999994</v>
      </c>
      <c r="T284" s="2">
        <f>ステ計算型!$I$27</f>
        <v>1.1000000000000001</v>
      </c>
      <c r="U284" s="2">
        <f>ステ計算型!$J$29</f>
        <v>2</v>
      </c>
      <c r="V284" s="2">
        <f>ステ計算型!$F$32</f>
        <v>0.75</v>
      </c>
      <c r="W284" s="2">
        <f>ステ計算型!$G$34</f>
        <v>1</v>
      </c>
      <c r="X284" s="7">
        <f t="shared" si="55"/>
        <v>67703.674500000008</v>
      </c>
      <c r="Y284" s="7">
        <f t="shared" si="52"/>
        <v>400</v>
      </c>
      <c r="Z284" s="7">
        <f t="shared" si="53"/>
        <v>1</v>
      </c>
      <c r="AA284" s="38">
        <f>IF(L284&lt;ステ計算型!$A$20,0,1)</f>
        <v>0</v>
      </c>
      <c r="AB284" s="3">
        <f t="shared" si="54"/>
        <v>0</v>
      </c>
    </row>
    <row r="285" spans="1:28" ht="8.25" customHeight="1">
      <c r="A285" s="3">
        <f t="shared" si="50"/>
        <v>0</v>
      </c>
      <c r="B285" s="2">
        <f>ステ計算型!$B$2</f>
        <v>101</v>
      </c>
      <c r="C285" s="7">
        <f>VLOOKUP(B285,ポイント!$A$1:$D$43,4,FALSE)</f>
        <v>571</v>
      </c>
      <c r="D285" s="2">
        <f>ステ計算型!$B$4</f>
        <v>5</v>
      </c>
      <c r="E285" s="2">
        <f>ステ計算型!$B$6</f>
        <v>127</v>
      </c>
      <c r="F285" s="2">
        <f>ステ計算型!$B$8</f>
        <v>10</v>
      </c>
      <c r="G285" s="2">
        <f>ステ計算型!$B$9</f>
        <v>82</v>
      </c>
      <c r="H285" s="7">
        <f t="shared" si="56"/>
        <v>347</v>
      </c>
      <c r="I285" s="5">
        <f>ステ計算型!$K$3</f>
        <v>7390</v>
      </c>
      <c r="J285" s="5">
        <f>ステ計算型!$N$3</f>
        <v>66</v>
      </c>
      <c r="K285" s="5">
        <v>286</v>
      </c>
      <c r="L285" s="7">
        <f t="shared" si="57"/>
        <v>61</v>
      </c>
      <c r="M285" s="7">
        <f t="shared" si="51"/>
        <v>11958</v>
      </c>
      <c r="N285" s="2">
        <v>1</v>
      </c>
      <c r="O285" s="7">
        <f t="shared" si="49"/>
        <v>0.51</v>
      </c>
      <c r="P285" s="7">
        <f t="shared" si="58"/>
        <v>0.5</v>
      </c>
      <c r="Q285" s="2">
        <f>ステ計算型!$I$29</f>
        <v>1</v>
      </c>
      <c r="R285" s="2">
        <f>ステ計算型!$E$33</f>
        <v>0.2</v>
      </c>
      <c r="S285" s="7">
        <f t="shared" si="59"/>
        <v>5.831999999999999</v>
      </c>
      <c r="T285" s="2">
        <f>ステ計算型!$I$27</f>
        <v>1.1000000000000001</v>
      </c>
      <c r="U285" s="2">
        <f>ステ計算型!$J$29</f>
        <v>2</v>
      </c>
      <c r="V285" s="2">
        <f>ステ計算型!$F$32</f>
        <v>0.75</v>
      </c>
      <c r="W285" s="2">
        <f>ステ計算型!$G$34</f>
        <v>1</v>
      </c>
      <c r="X285" s="7">
        <f t="shared" si="55"/>
        <v>67400.071199999991</v>
      </c>
      <c r="Y285" s="7">
        <f t="shared" si="52"/>
        <v>400</v>
      </c>
      <c r="Z285" s="7">
        <f t="shared" si="53"/>
        <v>1</v>
      </c>
      <c r="AA285" s="38">
        <f>IF(L285&lt;ステ計算型!$A$20,0,1)</f>
        <v>0</v>
      </c>
      <c r="AB285" s="3">
        <f t="shared" si="54"/>
        <v>0</v>
      </c>
    </row>
    <row r="286" spans="1:28" ht="8.25" customHeight="1">
      <c r="A286" s="3">
        <f t="shared" si="50"/>
        <v>0</v>
      </c>
      <c r="B286" s="2">
        <f>ステ計算型!$B$2</f>
        <v>101</v>
      </c>
      <c r="C286" s="7">
        <f>VLOOKUP(B286,ポイント!$A$1:$D$43,4,FALSE)</f>
        <v>571</v>
      </c>
      <c r="D286" s="2">
        <f>ステ計算型!$B$4</f>
        <v>5</v>
      </c>
      <c r="E286" s="2">
        <f>ステ計算型!$B$6</f>
        <v>127</v>
      </c>
      <c r="F286" s="2">
        <f>ステ計算型!$B$8</f>
        <v>10</v>
      </c>
      <c r="G286" s="2">
        <f>ステ計算型!$B$9</f>
        <v>82</v>
      </c>
      <c r="H286" s="7">
        <f t="shared" si="56"/>
        <v>347</v>
      </c>
      <c r="I286" s="5">
        <f>ステ計算型!$K$3</f>
        <v>7390</v>
      </c>
      <c r="J286" s="5">
        <f>ステ計算型!$N$3</f>
        <v>66</v>
      </c>
      <c r="K286" s="5">
        <v>287</v>
      </c>
      <c r="L286" s="7">
        <f t="shared" si="57"/>
        <v>60</v>
      </c>
      <c r="M286" s="7">
        <f t="shared" si="51"/>
        <v>11884</v>
      </c>
      <c r="N286" s="2">
        <v>1</v>
      </c>
      <c r="O286" s="7">
        <f t="shared" si="49"/>
        <v>0.52</v>
      </c>
      <c r="P286" s="7">
        <f t="shared" si="58"/>
        <v>0.5</v>
      </c>
      <c r="Q286" s="2">
        <f>ステ計算型!$I$29</f>
        <v>1</v>
      </c>
      <c r="R286" s="2">
        <f>ステ計算型!$E$33</f>
        <v>0.2</v>
      </c>
      <c r="S286" s="7">
        <f t="shared" si="59"/>
        <v>5.8440000000000003</v>
      </c>
      <c r="T286" s="2">
        <f>ステ計算型!$I$27</f>
        <v>1.1000000000000001</v>
      </c>
      <c r="U286" s="2">
        <f>ステ計算型!$J$29</f>
        <v>2</v>
      </c>
      <c r="V286" s="2">
        <f>ステ計算型!$F$32</f>
        <v>0.75</v>
      </c>
      <c r="W286" s="2">
        <f>ステ計算型!$G$34</f>
        <v>1</v>
      </c>
      <c r="X286" s="7">
        <f t="shared" si="55"/>
        <v>67100.62920000001</v>
      </c>
      <c r="Y286" s="7">
        <f t="shared" si="52"/>
        <v>400</v>
      </c>
      <c r="Z286" s="7">
        <f t="shared" si="53"/>
        <v>1</v>
      </c>
      <c r="AA286" s="38">
        <f>IF(L286&lt;ステ計算型!$A$20,0,1)</f>
        <v>0</v>
      </c>
      <c r="AB286" s="3">
        <f t="shared" si="54"/>
        <v>0</v>
      </c>
    </row>
    <row r="287" spans="1:28" ht="8.25" customHeight="1">
      <c r="A287" s="3">
        <f t="shared" si="50"/>
        <v>0</v>
      </c>
      <c r="B287" s="2">
        <f>ステ計算型!$B$2</f>
        <v>101</v>
      </c>
      <c r="C287" s="7">
        <f>VLOOKUP(B287,ポイント!$A$1:$D$43,4,FALSE)</f>
        <v>571</v>
      </c>
      <c r="D287" s="2">
        <f>ステ計算型!$B$4</f>
        <v>5</v>
      </c>
      <c r="E287" s="2">
        <f>ステ計算型!$B$6</f>
        <v>127</v>
      </c>
      <c r="F287" s="2">
        <f>ステ計算型!$B$8</f>
        <v>10</v>
      </c>
      <c r="G287" s="2">
        <f>ステ計算型!$B$9</f>
        <v>82</v>
      </c>
      <c r="H287" s="7">
        <f t="shared" si="56"/>
        <v>347</v>
      </c>
      <c r="I287" s="5">
        <f>ステ計算型!$K$3</f>
        <v>7390</v>
      </c>
      <c r="J287" s="5">
        <f>ステ計算型!$N$3</f>
        <v>66</v>
      </c>
      <c r="K287" s="5">
        <v>288</v>
      </c>
      <c r="L287" s="7">
        <f t="shared" si="57"/>
        <v>59</v>
      </c>
      <c r="M287" s="7">
        <f t="shared" si="51"/>
        <v>11809</v>
      </c>
      <c r="N287" s="2">
        <v>1</v>
      </c>
      <c r="O287" s="7">
        <f t="shared" si="49"/>
        <v>0.52</v>
      </c>
      <c r="P287" s="7">
        <f t="shared" si="58"/>
        <v>0.5</v>
      </c>
      <c r="Q287" s="2">
        <f>ステ計算型!$I$29</f>
        <v>1</v>
      </c>
      <c r="R287" s="2">
        <f>ステ計算型!$E$33</f>
        <v>0.2</v>
      </c>
      <c r="S287" s="7">
        <f t="shared" si="59"/>
        <v>5.8559999999999999</v>
      </c>
      <c r="T287" s="2">
        <f>ステ計算型!$I$27</f>
        <v>1.1000000000000001</v>
      </c>
      <c r="U287" s="2">
        <f>ステ計算型!$J$29</f>
        <v>2</v>
      </c>
      <c r="V287" s="2">
        <f>ステ計算型!$F$32</f>
        <v>0.75</v>
      </c>
      <c r="W287" s="2">
        <f>ステ計算型!$G$34</f>
        <v>1</v>
      </c>
      <c r="X287" s="7">
        <f t="shared" si="55"/>
        <v>66794.065800000011</v>
      </c>
      <c r="Y287" s="7">
        <f t="shared" si="52"/>
        <v>400</v>
      </c>
      <c r="Z287" s="7">
        <f t="shared" si="53"/>
        <v>1</v>
      </c>
      <c r="AA287" s="38">
        <f>IF(L287&lt;ステ計算型!$A$20,0,1)</f>
        <v>0</v>
      </c>
      <c r="AB287" s="3">
        <f t="shared" si="54"/>
        <v>0</v>
      </c>
    </row>
    <row r="288" spans="1:28" ht="8.25" customHeight="1">
      <c r="A288" s="3">
        <f t="shared" si="50"/>
        <v>0</v>
      </c>
      <c r="B288" s="2">
        <f>ステ計算型!$B$2</f>
        <v>101</v>
      </c>
      <c r="C288" s="7">
        <f>VLOOKUP(B288,ポイント!$A$1:$D$43,4,FALSE)</f>
        <v>571</v>
      </c>
      <c r="D288" s="2">
        <f>ステ計算型!$B$4</f>
        <v>5</v>
      </c>
      <c r="E288" s="2">
        <f>ステ計算型!$B$6</f>
        <v>127</v>
      </c>
      <c r="F288" s="2">
        <f>ステ計算型!$B$8</f>
        <v>10</v>
      </c>
      <c r="G288" s="2">
        <f>ステ計算型!$B$9</f>
        <v>82</v>
      </c>
      <c r="H288" s="7">
        <f t="shared" si="56"/>
        <v>347</v>
      </c>
      <c r="I288" s="5">
        <f>ステ計算型!$K$3</f>
        <v>7390</v>
      </c>
      <c r="J288" s="5">
        <f>ステ計算型!$N$3</f>
        <v>66</v>
      </c>
      <c r="K288" s="5">
        <v>289</v>
      </c>
      <c r="L288" s="7">
        <f t="shared" si="57"/>
        <v>58</v>
      </c>
      <c r="M288" s="7">
        <f t="shared" si="51"/>
        <v>11734</v>
      </c>
      <c r="N288" s="2">
        <v>1</v>
      </c>
      <c r="O288" s="7">
        <f t="shared" si="49"/>
        <v>0.52</v>
      </c>
      <c r="P288" s="7">
        <f t="shared" si="58"/>
        <v>0.5</v>
      </c>
      <c r="Q288" s="2">
        <f>ステ計算型!$I$29</f>
        <v>1</v>
      </c>
      <c r="R288" s="2">
        <f>ステ計算型!$E$33</f>
        <v>0.2</v>
      </c>
      <c r="S288" s="7">
        <f t="shared" si="59"/>
        <v>5.8680000000000003</v>
      </c>
      <c r="T288" s="2">
        <f>ステ計算型!$I$27</f>
        <v>1.1000000000000001</v>
      </c>
      <c r="U288" s="2">
        <f>ステ計算型!$J$29</f>
        <v>2</v>
      </c>
      <c r="V288" s="2">
        <f>ステ計算型!$F$32</f>
        <v>0.75</v>
      </c>
      <c r="W288" s="2">
        <f>ステ計算型!$G$34</f>
        <v>1</v>
      </c>
      <c r="X288" s="7">
        <f t="shared" si="55"/>
        <v>66486.017400000012</v>
      </c>
      <c r="Y288" s="7">
        <f t="shared" si="52"/>
        <v>400</v>
      </c>
      <c r="Z288" s="7">
        <f t="shared" si="53"/>
        <v>1</v>
      </c>
      <c r="AA288" s="38">
        <f>IF(L288&lt;ステ計算型!$A$20,0,1)</f>
        <v>0</v>
      </c>
      <c r="AB288" s="3">
        <f t="shared" si="54"/>
        <v>0</v>
      </c>
    </row>
    <row r="289" spans="1:28" ht="8.25" customHeight="1">
      <c r="A289" s="3">
        <f t="shared" si="50"/>
        <v>0</v>
      </c>
      <c r="B289" s="2">
        <f>ステ計算型!$B$2</f>
        <v>101</v>
      </c>
      <c r="C289" s="7">
        <f>VLOOKUP(B289,ポイント!$A$1:$D$43,4,FALSE)</f>
        <v>571</v>
      </c>
      <c r="D289" s="2">
        <f>ステ計算型!$B$4</f>
        <v>5</v>
      </c>
      <c r="E289" s="2">
        <f>ステ計算型!$B$6</f>
        <v>127</v>
      </c>
      <c r="F289" s="2">
        <f>ステ計算型!$B$8</f>
        <v>10</v>
      </c>
      <c r="G289" s="2">
        <f>ステ計算型!$B$9</f>
        <v>82</v>
      </c>
      <c r="H289" s="7">
        <f t="shared" si="56"/>
        <v>347</v>
      </c>
      <c r="I289" s="5">
        <f>ステ計算型!$K$3</f>
        <v>7390</v>
      </c>
      <c r="J289" s="5">
        <f>ステ計算型!$N$3</f>
        <v>66</v>
      </c>
      <c r="K289" s="5">
        <v>290</v>
      </c>
      <c r="L289" s="7">
        <f t="shared" si="57"/>
        <v>57</v>
      </c>
      <c r="M289" s="7">
        <f t="shared" si="51"/>
        <v>11659</v>
      </c>
      <c r="N289" s="2">
        <v>1</v>
      </c>
      <c r="O289" s="7">
        <f t="shared" si="49"/>
        <v>0.52</v>
      </c>
      <c r="P289" s="7">
        <f t="shared" si="58"/>
        <v>0.5</v>
      </c>
      <c r="Q289" s="2">
        <f>ステ計算型!$I$29</f>
        <v>1</v>
      </c>
      <c r="R289" s="2">
        <f>ステ計算型!$E$33</f>
        <v>0.2</v>
      </c>
      <c r="S289" s="7">
        <f t="shared" si="59"/>
        <v>5.88</v>
      </c>
      <c r="T289" s="2">
        <f>ステ計算型!$I$27</f>
        <v>1.1000000000000001</v>
      </c>
      <c r="U289" s="2">
        <f>ステ計算型!$J$29</f>
        <v>2</v>
      </c>
      <c r="V289" s="2">
        <f>ステ計算型!$F$32</f>
        <v>0.75</v>
      </c>
      <c r="W289" s="2">
        <f>ステ計算型!$G$34</f>
        <v>1</v>
      </c>
      <c r="X289" s="7">
        <f t="shared" si="55"/>
        <v>66176.483999999997</v>
      </c>
      <c r="Y289" s="7">
        <f t="shared" si="52"/>
        <v>400</v>
      </c>
      <c r="Z289" s="7">
        <f t="shared" si="53"/>
        <v>1</v>
      </c>
      <c r="AA289" s="38">
        <f>IF(L289&lt;ステ計算型!$A$20,0,1)</f>
        <v>0</v>
      </c>
      <c r="AB289" s="3">
        <f t="shared" si="54"/>
        <v>0</v>
      </c>
    </row>
    <row r="290" spans="1:28" ht="8.25" customHeight="1">
      <c r="A290" s="3">
        <f t="shared" si="50"/>
        <v>0</v>
      </c>
      <c r="B290" s="2">
        <f>ステ計算型!$B$2</f>
        <v>101</v>
      </c>
      <c r="C290" s="7">
        <f>VLOOKUP(B290,ポイント!$A$1:$D$43,4,FALSE)</f>
        <v>571</v>
      </c>
      <c r="D290" s="2">
        <f>ステ計算型!$B$4</f>
        <v>5</v>
      </c>
      <c r="E290" s="2">
        <f>ステ計算型!$B$6</f>
        <v>127</v>
      </c>
      <c r="F290" s="2">
        <f>ステ計算型!$B$8</f>
        <v>10</v>
      </c>
      <c r="G290" s="2">
        <f>ステ計算型!$B$9</f>
        <v>82</v>
      </c>
      <c r="H290" s="7">
        <f t="shared" si="56"/>
        <v>347</v>
      </c>
      <c r="I290" s="5">
        <f>ステ計算型!$K$3</f>
        <v>7390</v>
      </c>
      <c r="J290" s="5">
        <f>ステ計算型!$N$3</f>
        <v>66</v>
      </c>
      <c r="K290" s="5">
        <v>291</v>
      </c>
      <c r="L290" s="7">
        <f t="shared" si="57"/>
        <v>56</v>
      </c>
      <c r="M290" s="7">
        <f t="shared" si="51"/>
        <v>11584</v>
      </c>
      <c r="N290" s="2">
        <v>1</v>
      </c>
      <c r="O290" s="7">
        <f t="shared" si="49"/>
        <v>0.52</v>
      </c>
      <c r="P290" s="7">
        <f t="shared" si="58"/>
        <v>0.5</v>
      </c>
      <c r="Q290" s="2">
        <f>ステ計算型!$I$29</f>
        <v>1</v>
      </c>
      <c r="R290" s="2">
        <f>ステ計算型!$E$33</f>
        <v>0.2</v>
      </c>
      <c r="S290" s="7">
        <f t="shared" si="59"/>
        <v>5.8920000000000003</v>
      </c>
      <c r="T290" s="2">
        <f>ステ計算型!$I$27</f>
        <v>1.1000000000000001</v>
      </c>
      <c r="U290" s="2">
        <f>ステ計算型!$J$29</f>
        <v>2</v>
      </c>
      <c r="V290" s="2">
        <f>ステ計算型!$F$32</f>
        <v>0.75</v>
      </c>
      <c r="W290" s="2">
        <f>ステ計算型!$G$34</f>
        <v>1</v>
      </c>
      <c r="X290" s="7">
        <f t="shared" si="55"/>
        <v>65865.465599999996</v>
      </c>
      <c r="Y290" s="7">
        <f t="shared" si="52"/>
        <v>400</v>
      </c>
      <c r="Z290" s="7">
        <f t="shared" si="53"/>
        <v>1</v>
      </c>
      <c r="AA290" s="38">
        <f>IF(L290&lt;ステ計算型!$A$20,0,1)</f>
        <v>0</v>
      </c>
      <c r="AB290" s="3">
        <f t="shared" si="54"/>
        <v>0</v>
      </c>
    </row>
    <row r="291" spans="1:28" ht="8.25" customHeight="1">
      <c r="A291" s="3">
        <f t="shared" si="50"/>
        <v>0</v>
      </c>
      <c r="B291" s="2">
        <f>ステ計算型!$B$2</f>
        <v>101</v>
      </c>
      <c r="C291" s="7">
        <f>VLOOKUP(B291,ポイント!$A$1:$D$43,4,FALSE)</f>
        <v>571</v>
      </c>
      <c r="D291" s="2">
        <f>ステ計算型!$B$4</f>
        <v>5</v>
      </c>
      <c r="E291" s="2">
        <f>ステ計算型!$B$6</f>
        <v>127</v>
      </c>
      <c r="F291" s="2">
        <f>ステ計算型!$B$8</f>
        <v>10</v>
      </c>
      <c r="G291" s="2">
        <f>ステ計算型!$B$9</f>
        <v>82</v>
      </c>
      <c r="H291" s="7">
        <f t="shared" si="56"/>
        <v>347</v>
      </c>
      <c r="I291" s="5">
        <f>ステ計算型!$K$3</f>
        <v>7390</v>
      </c>
      <c r="J291" s="5">
        <f>ステ計算型!$N$3</f>
        <v>66</v>
      </c>
      <c r="K291" s="5">
        <v>292</v>
      </c>
      <c r="L291" s="7">
        <f t="shared" si="57"/>
        <v>55</v>
      </c>
      <c r="M291" s="7">
        <f t="shared" si="51"/>
        <v>11509</v>
      </c>
      <c r="N291" s="2">
        <v>1</v>
      </c>
      <c r="O291" s="7">
        <f t="shared" si="49"/>
        <v>0.52</v>
      </c>
      <c r="P291" s="7">
        <f t="shared" si="58"/>
        <v>0.5</v>
      </c>
      <c r="Q291" s="2">
        <f>ステ計算型!$I$29</f>
        <v>1</v>
      </c>
      <c r="R291" s="2">
        <f>ステ計算型!$E$33</f>
        <v>0.2</v>
      </c>
      <c r="S291" s="7">
        <f t="shared" si="59"/>
        <v>5.9039999999999999</v>
      </c>
      <c r="T291" s="2">
        <f>ステ計算型!$I$27</f>
        <v>1.1000000000000001</v>
      </c>
      <c r="U291" s="2">
        <f>ステ計算型!$J$29</f>
        <v>2</v>
      </c>
      <c r="V291" s="2">
        <f>ステ計算型!$F$32</f>
        <v>0.75</v>
      </c>
      <c r="W291" s="2">
        <f>ステ計算型!$G$34</f>
        <v>1</v>
      </c>
      <c r="X291" s="7">
        <f t="shared" si="55"/>
        <v>65552.962200000009</v>
      </c>
      <c r="Y291" s="7">
        <f t="shared" si="52"/>
        <v>400</v>
      </c>
      <c r="Z291" s="7">
        <f t="shared" si="53"/>
        <v>1</v>
      </c>
      <c r="AA291" s="38">
        <f>IF(L291&lt;ステ計算型!$A$20,0,1)</f>
        <v>0</v>
      </c>
      <c r="AB291" s="3">
        <f t="shared" si="54"/>
        <v>0</v>
      </c>
    </row>
    <row r="292" spans="1:28" ht="8.25" customHeight="1">
      <c r="A292" s="3">
        <f t="shared" si="50"/>
        <v>0</v>
      </c>
      <c r="B292" s="2">
        <f>ステ計算型!$B$2</f>
        <v>101</v>
      </c>
      <c r="C292" s="7">
        <f>VLOOKUP(B292,ポイント!$A$1:$D$43,4,FALSE)</f>
        <v>571</v>
      </c>
      <c r="D292" s="2">
        <f>ステ計算型!$B$4</f>
        <v>5</v>
      </c>
      <c r="E292" s="2">
        <f>ステ計算型!$B$6</f>
        <v>127</v>
      </c>
      <c r="F292" s="2">
        <f>ステ計算型!$B$8</f>
        <v>10</v>
      </c>
      <c r="G292" s="2">
        <f>ステ計算型!$B$9</f>
        <v>82</v>
      </c>
      <c r="H292" s="7">
        <f t="shared" si="56"/>
        <v>347</v>
      </c>
      <c r="I292" s="5">
        <f>ステ計算型!$K$3</f>
        <v>7390</v>
      </c>
      <c r="J292" s="5">
        <f>ステ計算型!$N$3</f>
        <v>66</v>
      </c>
      <c r="K292" s="5">
        <v>293</v>
      </c>
      <c r="L292" s="7">
        <f t="shared" si="57"/>
        <v>54</v>
      </c>
      <c r="M292" s="7">
        <f t="shared" si="51"/>
        <v>11434</v>
      </c>
      <c r="N292" s="2">
        <v>1</v>
      </c>
      <c r="O292" s="7">
        <f t="shared" si="49"/>
        <v>0.52</v>
      </c>
      <c r="P292" s="7">
        <f t="shared" si="58"/>
        <v>0.5</v>
      </c>
      <c r="Q292" s="2">
        <f>ステ計算型!$I$29</f>
        <v>1</v>
      </c>
      <c r="R292" s="2">
        <f>ステ計算型!$E$33</f>
        <v>0.2</v>
      </c>
      <c r="S292" s="7">
        <f t="shared" si="59"/>
        <v>5.9159999999999995</v>
      </c>
      <c r="T292" s="2">
        <f>ステ計算型!$I$27</f>
        <v>1.1000000000000001</v>
      </c>
      <c r="U292" s="2">
        <f>ステ計算型!$J$29</f>
        <v>2</v>
      </c>
      <c r="V292" s="2">
        <f>ステ計算型!$F$32</f>
        <v>0.75</v>
      </c>
      <c r="W292" s="2">
        <f>ステ計算型!$G$34</f>
        <v>1</v>
      </c>
      <c r="X292" s="7">
        <f t="shared" si="55"/>
        <v>65238.9738</v>
      </c>
      <c r="Y292" s="7">
        <f t="shared" si="52"/>
        <v>400</v>
      </c>
      <c r="Z292" s="7">
        <f t="shared" si="53"/>
        <v>1</v>
      </c>
      <c r="AA292" s="38">
        <f>IF(L292&lt;ステ計算型!$A$20,0,1)</f>
        <v>0</v>
      </c>
      <c r="AB292" s="3">
        <f t="shared" si="54"/>
        <v>0</v>
      </c>
    </row>
    <row r="293" spans="1:28" ht="8.25" customHeight="1">
      <c r="A293" s="3">
        <f t="shared" si="50"/>
        <v>0</v>
      </c>
      <c r="B293" s="2">
        <f>ステ計算型!$B$2</f>
        <v>101</v>
      </c>
      <c r="C293" s="7">
        <f>VLOOKUP(B293,ポイント!$A$1:$D$43,4,FALSE)</f>
        <v>571</v>
      </c>
      <c r="D293" s="2">
        <f>ステ計算型!$B$4</f>
        <v>5</v>
      </c>
      <c r="E293" s="2">
        <f>ステ計算型!$B$6</f>
        <v>127</v>
      </c>
      <c r="F293" s="2">
        <f>ステ計算型!$B$8</f>
        <v>10</v>
      </c>
      <c r="G293" s="2">
        <f>ステ計算型!$B$9</f>
        <v>82</v>
      </c>
      <c r="H293" s="7">
        <f t="shared" si="56"/>
        <v>347</v>
      </c>
      <c r="I293" s="5">
        <f>ステ計算型!$K$3</f>
        <v>7390</v>
      </c>
      <c r="J293" s="5">
        <f>ステ計算型!$N$3</f>
        <v>66</v>
      </c>
      <c r="K293" s="5">
        <v>294</v>
      </c>
      <c r="L293" s="7">
        <f t="shared" si="57"/>
        <v>53</v>
      </c>
      <c r="M293" s="7">
        <f t="shared" si="51"/>
        <v>11359</v>
      </c>
      <c r="N293" s="2">
        <v>1</v>
      </c>
      <c r="O293" s="7">
        <f t="shared" si="49"/>
        <v>0.53</v>
      </c>
      <c r="P293" s="7">
        <f t="shared" si="58"/>
        <v>0.5</v>
      </c>
      <c r="Q293" s="2">
        <f>ステ計算型!$I$29</f>
        <v>1</v>
      </c>
      <c r="R293" s="2">
        <f>ステ計算型!$E$33</f>
        <v>0.2</v>
      </c>
      <c r="S293" s="7">
        <f t="shared" si="59"/>
        <v>5.927999999999999</v>
      </c>
      <c r="T293" s="2">
        <f>ステ計算型!$I$27</f>
        <v>1.1000000000000001</v>
      </c>
      <c r="U293" s="2">
        <f>ステ計算型!$J$29</f>
        <v>2</v>
      </c>
      <c r="V293" s="2">
        <f>ステ計算型!$F$32</f>
        <v>0.75</v>
      </c>
      <c r="W293" s="2">
        <f>ステ計算型!$G$34</f>
        <v>1</v>
      </c>
      <c r="X293" s="7">
        <f t="shared" si="55"/>
        <v>64923.500399999997</v>
      </c>
      <c r="Y293" s="7">
        <f t="shared" si="52"/>
        <v>400</v>
      </c>
      <c r="Z293" s="7">
        <f t="shared" si="53"/>
        <v>1</v>
      </c>
      <c r="AA293" s="38">
        <f>IF(L293&lt;ステ計算型!$A$20,0,1)</f>
        <v>0</v>
      </c>
      <c r="AB293" s="3">
        <f t="shared" si="54"/>
        <v>0</v>
      </c>
    </row>
    <row r="294" spans="1:28" ht="8.25" customHeight="1">
      <c r="A294" s="3">
        <f t="shared" si="50"/>
        <v>0</v>
      </c>
      <c r="B294" s="2">
        <f>ステ計算型!$B$2</f>
        <v>101</v>
      </c>
      <c r="C294" s="7">
        <f>VLOOKUP(B294,ポイント!$A$1:$D$43,4,FALSE)</f>
        <v>571</v>
      </c>
      <c r="D294" s="2">
        <f>ステ計算型!$B$4</f>
        <v>5</v>
      </c>
      <c r="E294" s="2">
        <f>ステ計算型!$B$6</f>
        <v>127</v>
      </c>
      <c r="F294" s="2">
        <f>ステ計算型!$B$8</f>
        <v>10</v>
      </c>
      <c r="G294" s="2">
        <f>ステ計算型!$B$9</f>
        <v>82</v>
      </c>
      <c r="H294" s="7">
        <f t="shared" si="56"/>
        <v>347</v>
      </c>
      <c r="I294" s="5">
        <f>ステ計算型!$K$3</f>
        <v>7390</v>
      </c>
      <c r="J294" s="5">
        <f>ステ計算型!$N$3</f>
        <v>66</v>
      </c>
      <c r="K294" s="5">
        <v>295</v>
      </c>
      <c r="L294" s="7">
        <f t="shared" si="57"/>
        <v>52</v>
      </c>
      <c r="M294" s="7">
        <f t="shared" si="51"/>
        <v>11284</v>
      </c>
      <c r="N294" s="2">
        <v>1</v>
      </c>
      <c r="O294" s="7">
        <f t="shared" si="49"/>
        <v>0.53</v>
      </c>
      <c r="P294" s="7">
        <f t="shared" si="58"/>
        <v>0.5</v>
      </c>
      <c r="Q294" s="2">
        <f>ステ計算型!$I$29</f>
        <v>1</v>
      </c>
      <c r="R294" s="2">
        <f>ステ計算型!$E$33</f>
        <v>0.2</v>
      </c>
      <c r="S294" s="7">
        <f t="shared" si="59"/>
        <v>5.94</v>
      </c>
      <c r="T294" s="2">
        <f>ステ計算型!$I$27</f>
        <v>1.1000000000000001</v>
      </c>
      <c r="U294" s="2">
        <f>ステ計算型!$J$29</f>
        <v>2</v>
      </c>
      <c r="V294" s="2">
        <f>ステ計算型!$F$32</f>
        <v>0.75</v>
      </c>
      <c r="W294" s="2">
        <f>ステ計算型!$G$34</f>
        <v>1</v>
      </c>
      <c r="X294" s="7">
        <f t="shared" si="55"/>
        <v>64606.542000000009</v>
      </c>
      <c r="Y294" s="7">
        <f t="shared" si="52"/>
        <v>400</v>
      </c>
      <c r="Z294" s="7">
        <f t="shared" si="53"/>
        <v>1</v>
      </c>
      <c r="AA294" s="38">
        <f>IF(L294&lt;ステ計算型!$A$20,0,1)</f>
        <v>0</v>
      </c>
      <c r="AB294" s="3">
        <f t="shared" si="54"/>
        <v>0</v>
      </c>
    </row>
    <row r="295" spans="1:28" ht="8.25" customHeight="1">
      <c r="A295" s="3">
        <f t="shared" si="50"/>
        <v>0</v>
      </c>
      <c r="B295" s="2">
        <f>ステ計算型!$B$2</f>
        <v>101</v>
      </c>
      <c r="C295" s="7">
        <f>VLOOKUP(B295,ポイント!$A$1:$D$43,4,FALSE)</f>
        <v>571</v>
      </c>
      <c r="D295" s="2">
        <f>ステ計算型!$B$4</f>
        <v>5</v>
      </c>
      <c r="E295" s="2">
        <f>ステ計算型!$B$6</f>
        <v>127</v>
      </c>
      <c r="F295" s="2">
        <f>ステ計算型!$B$8</f>
        <v>10</v>
      </c>
      <c r="G295" s="2">
        <f>ステ計算型!$B$9</f>
        <v>82</v>
      </c>
      <c r="H295" s="7">
        <f t="shared" si="56"/>
        <v>347</v>
      </c>
      <c r="I295" s="5">
        <f>ステ計算型!$K$3</f>
        <v>7390</v>
      </c>
      <c r="J295" s="5">
        <f>ステ計算型!$N$3</f>
        <v>66</v>
      </c>
      <c r="K295" s="5">
        <v>296</v>
      </c>
      <c r="L295" s="7">
        <f t="shared" si="57"/>
        <v>51</v>
      </c>
      <c r="M295" s="7">
        <f t="shared" si="51"/>
        <v>11209</v>
      </c>
      <c r="N295" s="2">
        <v>1</v>
      </c>
      <c r="O295" s="7">
        <f t="shared" si="49"/>
        <v>0.53</v>
      </c>
      <c r="P295" s="7">
        <f t="shared" si="58"/>
        <v>0.5</v>
      </c>
      <c r="Q295" s="2">
        <f>ステ計算型!$I$29</f>
        <v>1</v>
      </c>
      <c r="R295" s="2">
        <f>ステ計算型!$E$33</f>
        <v>0.2</v>
      </c>
      <c r="S295" s="7">
        <f t="shared" si="59"/>
        <v>5.952</v>
      </c>
      <c r="T295" s="2">
        <f>ステ計算型!$I$27</f>
        <v>1.1000000000000001</v>
      </c>
      <c r="U295" s="2">
        <f>ステ計算型!$J$29</f>
        <v>2</v>
      </c>
      <c r="V295" s="2">
        <f>ステ計算型!$F$32</f>
        <v>0.75</v>
      </c>
      <c r="W295" s="2">
        <f>ステ計算型!$G$34</f>
        <v>1</v>
      </c>
      <c r="X295" s="7">
        <f t="shared" si="55"/>
        <v>64288.098599999998</v>
      </c>
      <c r="Y295" s="7">
        <f t="shared" si="52"/>
        <v>400</v>
      </c>
      <c r="Z295" s="7">
        <f t="shared" si="53"/>
        <v>1</v>
      </c>
      <c r="AA295" s="38">
        <f>IF(L295&lt;ステ計算型!$A$20,0,1)</f>
        <v>0</v>
      </c>
      <c r="AB295" s="3">
        <f t="shared" si="54"/>
        <v>0</v>
      </c>
    </row>
    <row r="296" spans="1:28" ht="8.25" customHeight="1">
      <c r="A296" s="3">
        <f t="shared" si="50"/>
        <v>0</v>
      </c>
      <c r="B296" s="2">
        <f>ステ計算型!$B$2</f>
        <v>101</v>
      </c>
      <c r="C296" s="7">
        <f>VLOOKUP(B296,ポイント!$A$1:$D$43,4,FALSE)</f>
        <v>571</v>
      </c>
      <c r="D296" s="2">
        <f>ステ計算型!$B$4</f>
        <v>5</v>
      </c>
      <c r="E296" s="2">
        <f>ステ計算型!$B$6</f>
        <v>127</v>
      </c>
      <c r="F296" s="2">
        <f>ステ計算型!$B$8</f>
        <v>10</v>
      </c>
      <c r="G296" s="2">
        <f>ステ計算型!$B$9</f>
        <v>82</v>
      </c>
      <c r="H296" s="7">
        <f t="shared" si="56"/>
        <v>347</v>
      </c>
      <c r="I296" s="5">
        <f>ステ計算型!$K$3</f>
        <v>7390</v>
      </c>
      <c r="J296" s="5">
        <f>ステ計算型!$N$3</f>
        <v>66</v>
      </c>
      <c r="K296" s="5">
        <v>297</v>
      </c>
      <c r="L296" s="7">
        <f t="shared" si="57"/>
        <v>50</v>
      </c>
      <c r="M296" s="7">
        <f t="shared" si="51"/>
        <v>11135</v>
      </c>
      <c r="N296" s="2">
        <v>1</v>
      </c>
      <c r="O296" s="7">
        <f t="shared" si="49"/>
        <v>0.53</v>
      </c>
      <c r="P296" s="7">
        <f t="shared" si="58"/>
        <v>0.5</v>
      </c>
      <c r="Q296" s="2">
        <f>ステ計算型!$I$29</f>
        <v>1</v>
      </c>
      <c r="R296" s="2">
        <f>ステ計算型!$E$33</f>
        <v>0.2</v>
      </c>
      <c r="S296" s="7">
        <f t="shared" si="59"/>
        <v>5.9640000000000004</v>
      </c>
      <c r="T296" s="2">
        <f>ステ計算型!$I$27</f>
        <v>1.1000000000000001</v>
      </c>
      <c r="U296" s="2">
        <f>ステ計算型!$J$29</f>
        <v>2</v>
      </c>
      <c r="V296" s="2">
        <f>ステ計算型!$F$32</f>
        <v>0.75</v>
      </c>
      <c r="W296" s="2">
        <f>ステ計算型!$G$34</f>
        <v>1</v>
      </c>
      <c r="X296" s="7">
        <f t="shared" si="55"/>
        <v>63973.915500000003</v>
      </c>
      <c r="Y296" s="7">
        <f t="shared" si="52"/>
        <v>400</v>
      </c>
      <c r="Z296" s="7">
        <f t="shared" si="53"/>
        <v>1</v>
      </c>
      <c r="AA296" s="38">
        <f>IF(L296&lt;ステ計算型!$A$20,0,1)</f>
        <v>0</v>
      </c>
      <c r="AB296" s="3">
        <f t="shared" si="54"/>
        <v>0</v>
      </c>
    </row>
    <row r="297" spans="1:28" ht="8.25" customHeight="1">
      <c r="A297" s="3">
        <f t="shared" si="50"/>
        <v>0</v>
      </c>
      <c r="B297" s="2">
        <f>ステ計算型!$B$2</f>
        <v>101</v>
      </c>
      <c r="C297" s="7">
        <f>VLOOKUP(B297,ポイント!$A$1:$D$43,4,FALSE)</f>
        <v>571</v>
      </c>
      <c r="D297" s="2">
        <f>ステ計算型!$B$4</f>
        <v>5</v>
      </c>
      <c r="E297" s="2">
        <f>ステ計算型!$B$6</f>
        <v>127</v>
      </c>
      <c r="F297" s="2">
        <f>ステ計算型!$B$8</f>
        <v>10</v>
      </c>
      <c r="G297" s="2">
        <f>ステ計算型!$B$9</f>
        <v>82</v>
      </c>
      <c r="H297" s="7">
        <f t="shared" si="56"/>
        <v>347</v>
      </c>
      <c r="I297" s="5">
        <f>ステ計算型!$K$3</f>
        <v>7390</v>
      </c>
      <c r="J297" s="5">
        <f>ステ計算型!$N$3</f>
        <v>66</v>
      </c>
      <c r="K297" s="5">
        <v>298</v>
      </c>
      <c r="L297" s="7">
        <f t="shared" si="57"/>
        <v>49</v>
      </c>
      <c r="M297" s="7">
        <f t="shared" si="51"/>
        <v>11060</v>
      </c>
      <c r="N297" s="2">
        <v>1</v>
      </c>
      <c r="O297" s="7">
        <f t="shared" si="49"/>
        <v>0.53</v>
      </c>
      <c r="P297" s="7">
        <f t="shared" si="58"/>
        <v>0.5</v>
      </c>
      <c r="Q297" s="2">
        <f>ステ計算型!$I$29</f>
        <v>1</v>
      </c>
      <c r="R297" s="2">
        <f>ステ計算型!$E$33</f>
        <v>0.2</v>
      </c>
      <c r="S297" s="7">
        <f t="shared" si="59"/>
        <v>5.976</v>
      </c>
      <c r="T297" s="2">
        <f>ステ計算型!$I$27</f>
        <v>1.1000000000000001</v>
      </c>
      <c r="U297" s="2">
        <f>ステ計算型!$J$29</f>
        <v>2</v>
      </c>
      <c r="V297" s="2">
        <f>ステ計算型!$F$32</f>
        <v>0.75</v>
      </c>
      <c r="W297" s="2">
        <f>ステ計算型!$G$34</f>
        <v>1</v>
      </c>
      <c r="X297" s="7">
        <f t="shared" si="55"/>
        <v>63652.512000000002</v>
      </c>
      <c r="Y297" s="7">
        <f t="shared" si="52"/>
        <v>400</v>
      </c>
      <c r="Z297" s="7">
        <f t="shared" si="53"/>
        <v>1</v>
      </c>
      <c r="AA297" s="38">
        <f>IF(L297&lt;ステ計算型!$A$20,0,1)</f>
        <v>0</v>
      </c>
      <c r="AB297" s="3">
        <f t="shared" si="54"/>
        <v>0</v>
      </c>
    </row>
    <row r="298" spans="1:28" ht="8.25" customHeight="1">
      <c r="A298" s="3">
        <f t="shared" si="50"/>
        <v>0</v>
      </c>
      <c r="B298" s="2">
        <f>ステ計算型!$B$2</f>
        <v>101</v>
      </c>
      <c r="C298" s="7">
        <f>VLOOKUP(B298,ポイント!$A$1:$D$43,4,FALSE)</f>
        <v>571</v>
      </c>
      <c r="D298" s="2">
        <f>ステ計算型!$B$4</f>
        <v>5</v>
      </c>
      <c r="E298" s="2">
        <f>ステ計算型!$B$6</f>
        <v>127</v>
      </c>
      <c r="F298" s="2">
        <f>ステ計算型!$B$8</f>
        <v>10</v>
      </c>
      <c r="G298" s="2">
        <f>ステ計算型!$B$9</f>
        <v>82</v>
      </c>
      <c r="H298" s="7">
        <f t="shared" si="56"/>
        <v>347</v>
      </c>
      <c r="I298" s="5">
        <f>ステ計算型!$K$3</f>
        <v>7390</v>
      </c>
      <c r="J298" s="5">
        <f>ステ計算型!$N$3</f>
        <v>66</v>
      </c>
      <c r="K298" s="5">
        <v>299</v>
      </c>
      <c r="L298" s="7">
        <f t="shared" si="57"/>
        <v>48</v>
      </c>
      <c r="M298" s="7">
        <f t="shared" si="51"/>
        <v>10985</v>
      </c>
      <c r="N298" s="2">
        <v>1</v>
      </c>
      <c r="O298" s="7">
        <f t="shared" si="49"/>
        <v>0.53</v>
      </c>
      <c r="P298" s="7">
        <f t="shared" si="58"/>
        <v>0.5</v>
      </c>
      <c r="Q298" s="2">
        <f>ステ計算型!$I$29</f>
        <v>1</v>
      </c>
      <c r="R298" s="2">
        <f>ステ計算型!$E$33</f>
        <v>0.2</v>
      </c>
      <c r="S298" s="7">
        <f t="shared" si="59"/>
        <v>5.9880000000000004</v>
      </c>
      <c r="T298" s="2">
        <f>ステ計算型!$I$27</f>
        <v>1.1000000000000001</v>
      </c>
      <c r="U298" s="2">
        <f>ステ計算型!$J$29</f>
        <v>2</v>
      </c>
      <c r="V298" s="2">
        <f>ステ計算型!$F$32</f>
        <v>0.75</v>
      </c>
      <c r="W298" s="2">
        <f>ステ計算型!$G$34</f>
        <v>1</v>
      </c>
      <c r="X298" s="7">
        <f t="shared" si="55"/>
        <v>63329.623500000016</v>
      </c>
      <c r="Y298" s="7">
        <f t="shared" si="52"/>
        <v>400</v>
      </c>
      <c r="Z298" s="7">
        <f t="shared" si="53"/>
        <v>1</v>
      </c>
      <c r="AA298" s="38">
        <f>IF(L298&lt;ステ計算型!$A$20,0,1)</f>
        <v>0</v>
      </c>
      <c r="AB298" s="3">
        <f t="shared" si="54"/>
        <v>0</v>
      </c>
    </row>
    <row r="299" spans="1:28" ht="8.25" customHeight="1">
      <c r="A299" s="3">
        <f t="shared" si="50"/>
        <v>0</v>
      </c>
      <c r="B299" s="2">
        <f>ステ計算型!$B$2</f>
        <v>101</v>
      </c>
      <c r="C299" s="7">
        <f>VLOOKUP(B299,ポイント!$A$1:$D$43,4,FALSE)</f>
        <v>571</v>
      </c>
      <c r="D299" s="2">
        <f>ステ計算型!$B$4</f>
        <v>5</v>
      </c>
      <c r="E299" s="2">
        <f>ステ計算型!$B$6</f>
        <v>127</v>
      </c>
      <c r="F299" s="2">
        <f>ステ計算型!$B$8</f>
        <v>10</v>
      </c>
      <c r="G299" s="2">
        <f>ステ計算型!$B$9</f>
        <v>82</v>
      </c>
      <c r="H299" s="7">
        <f t="shared" si="56"/>
        <v>347</v>
      </c>
      <c r="I299" s="5">
        <f>ステ計算型!$K$3</f>
        <v>7390</v>
      </c>
      <c r="J299" s="5">
        <f>ステ計算型!$N$3</f>
        <v>66</v>
      </c>
      <c r="K299" s="5">
        <v>300</v>
      </c>
      <c r="L299" s="7">
        <f t="shared" si="57"/>
        <v>47</v>
      </c>
      <c r="M299" s="7">
        <f t="shared" si="51"/>
        <v>10910</v>
      </c>
      <c r="N299" s="2">
        <v>1</v>
      </c>
      <c r="O299" s="7">
        <f t="shared" si="49"/>
        <v>0.53</v>
      </c>
      <c r="P299" s="7">
        <f t="shared" si="58"/>
        <v>0.5</v>
      </c>
      <c r="Q299" s="2">
        <f>ステ計算型!$I$29</f>
        <v>1</v>
      </c>
      <c r="R299" s="2">
        <f>ステ計算型!$E$33</f>
        <v>0.2</v>
      </c>
      <c r="S299" s="7">
        <f t="shared" si="59"/>
        <v>6</v>
      </c>
      <c r="T299" s="2">
        <f>ステ計算型!$I$27</f>
        <v>1.1000000000000001</v>
      </c>
      <c r="U299" s="2">
        <f>ステ計算型!$J$29</f>
        <v>2</v>
      </c>
      <c r="V299" s="2">
        <f>ステ計算型!$F$32</f>
        <v>0.75</v>
      </c>
      <c r="W299" s="2">
        <f>ステ計算型!$G$34</f>
        <v>1</v>
      </c>
      <c r="X299" s="7">
        <f t="shared" si="55"/>
        <v>63005.25</v>
      </c>
      <c r="Y299" s="7">
        <f t="shared" si="52"/>
        <v>400</v>
      </c>
      <c r="Z299" s="7">
        <f t="shared" si="53"/>
        <v>1</v>
      </c>
      <c r="AA299" s="38">
        <f>IF(L299&lt;ステ計算型!$A$20,0,1)</f>
        <v>0</v>
      </c>
      <c r="AB299" s="3">
        <f t="shared" si="54"/>
        <v>0</v>
      </c>
    </row>
    <row r="300" spans="1:28" ht="8.25" customHeight="1">
      <c r="A300" s="3">
        <f t="shared" si="50"/>
        <v>0</v>
      </c>
      <c r="B300" s="2">
        <f>ステ計算型!$B$2</f>
        <v>101</v>
      </c>
      <c r="C300" s="7">
        <f>VLOOKUP(B300,ポイント!$A$1:$D$43,4,FALSE)</f>
        <v>571</v>
      </c>
      <c r="D300" s="2">
        <f>ステ計算型!$B$4</f>
        <v>5</v>
      </c>
      <c r="E300" s="2">
        <f>ステ計算型!$B$6</f>
        <v>127</v>
      </c>
      <c r="F300" s="2">
        <f>ステ計算型!$B$8</f>
        <v>10</v>
      </c>
      <c r="G300" s="2">
        <f>ステ計算型!$B$9</f>
        <v>82</v>
      </c>
      <c r="H300" s="7">
        <f t="shared" si="56"/>
        <v>347</v>
      </c>
      <c r="I300" s="5">
        <f>ステ計算型!$K$3</f>
        <v>7390</v>
      </c>
      <c r="J300" s="5">
        <f>ステ計算型!$N$3</f>
        <v>66</v>
      </c>
      <c r="K300" s="5">
        <v>301</v>
      </c>
      <c r="L300" s="7">
        <f t="shared" si="57"/>
        <v>46</v>
      </c>
      <c r="M300" s="7">
        <f t="shared" si="51"/>
        <v>10835</v>
      </c>
      <c r="N300" s="2">
        <v>1</v>
      </c>
      <c r="O300" s="7">
        <f t="shared" si="49"/>
        <v>0.53</v>
      </c>
      <c r="P300" s="7">
        <f t="shared" si="58"/>
        <v>0.5</v>
      </c>
      <c r="Q300" s="2">
        <f>ステ計算型!$I$29</f>
        <v>1</v>
      </c>
      <c r="R300" s="2">
        <f>ステ計算型!$E$33</f>
        <v>0.2</v>
      </c>
      <c r="S300" s="7">
        <f t="shared" si="59"/>
        <v>6.0119999999999996</v>
      </c>
      <c r="T300" s="2">
        <f>ステ計算型!$I$27</f>
        <v>1.1000000000000001</v>
      </c>
      <c r="U300" s="2">
        <f>ステ計算型!$J$29</f>
        <v>2</v>
      </c>
      <c r="V300" s="2">
        <f>ステ計算型!$F$32</f>
        <v>0.75</v>
      </c>
      <c r="W300" s="2">
        <f>ステ計算型!$G$34</f>
        <v>1</v>
      </c>
      <c r="X300" s="7">
        <f t="shared" si="55"/>
        <v>62679.391500000012</v>
      </c>
      <c r="Y300" s="7">
        <f t="shared" si="52"/>
        <v>400</v>
      </c>
      <c r="Z300" s="7">
        <f t="shared" si="53"/>
        <v>1</v>
      </c>
      <c r="AA300" s="38">
        <f>IF(L300&lt;ステ計算型!$A$20,0,1)</f>
        <v>0</v>
      </c>
      <c r="AB300" s="3">
        <f t="shared" si="54"/>
        <v>0</v>
      </c>
    </row>
    <row r="301" spans="1:28" ht="8.25" customHeight="1">
      <c r="A301" s="3">
        <f t="shared" si="50"/>
        <v>0</v>
      </c>
      <c r="B301" s="2">
        <f>ステ計算型!$B$2</f>
        <v>101</v>
      </c>
      <c r="C301" s="7">
        <f>VLOOKUP(B301,ポイント!$A$1:$D$43,4,FALSE)</f>
        <v>571</v>
      </c>
      <c r="D301" s="2">
        <f>ステ計算型!$B$4</f>
        <v>5</v>
      </c>
      <c r="E301" s="2">
        <f>ステ計算型!$B$6</f>
        <v>127</v>
      </c>
      <c r="F301" s="2">
        <f>ステ計算型!$B$8</f>
        <v>10</v>
      </c>
      <c r="G301" s="2">
        <f>ステ計算型!$B$9</f>
        <v>82</v>
      </c>
      <c r="H301" s="7">
        <f t="shared" si="56"/>
        <v>347</v>
      </c>
      <c r="I301" s="5">
        <f>ステ計算型!$K$3</f>
        <v>7390</v>
      </c>
      <c r="J301" s="5">
        <f>ステ計算型!$N$3</f>
        <v>66</v>
      </c>
      <c r="K301" s="5">
        <v>302</v>
      </c>
      <c r="L301" s="7">
        <f t="shared" si="57"/>
        <v>45</v>
      </c>
      <c r="M301" s="7">
        <f t="shared" si="51"/>
        <v>10760</v>
      </c>
      <c r="N301" s="2">
        <v>1</v>
      </c>
      <c r="O301" s="7">
        <f t="shared" si="49"/>
        <v>0.54</v>
      </c>
      <c r="P301" s="7">
        <f t="shared" si="58"/>
        <v>0.5</v>
      </c>
      <c r="Q301" s="2">
        <f>ステ計算型!$I$29</f>
        <v>1</v>
      </c>
      <c r="R301" s="2">
        <f>ステ計算型!$E$33</f>
        <v>0.2</v>
      </c>
      <c r="S301" s="7">
        <f t="shared" si="59"/>
        <v>6.0239999999999991</v>
      </c>
      <c r="T301" s="2">
        <f>ステ計算型!$I$27</f>
        <v>1.1000000000000001</v>
      </c>
      <c r="U301" s="2">
        <f>ステ計算型!$J$29</f>
        <v>2</v>
      </c>
      <c r="V301" s="2">
        <f>ステ計算型!$F$32</f>
        <v>0.75</v>
      </c>
      <c r="W301" s="2">
        <f>ステ計算型!$G$34</f>
        <v>1</v>
      </c>
      <c r="X301" s="7">
        <f t="shared" si="55"/>
        <v>62352.047999999995</v>
      </c>
      <c r="Y301" s="7">
        <f t="shared" si="52"/>
        <v>400</v>
      </c>
      <c r="Z301" s="7">
        <f t="shared" si="53"/>
        <v>1</v>
      </c>
      <c r="AA301" s="38">
        <f>IF(L301&lt;ステ計算型!$A$20,0,1)</f>
        <v>0</v>
      </c>
      <c r="AB301" s="3">
        <f t="shared" si="54"/>
        <v>0</v>
      </c>
    </row>
    <row r="302" spans="1:28" ht="8.25" customHeight="1">
      <c r="A302" s="3">
        <f t="shared" si="50"/>
        <v>0</v>
      </c>
      <c r="B302" s="2">
        <f>ステ計算型!$B$2</f>
        <v>101</v>
      </c>
      <c r="C302" s="7">
        <f>VLOOKUP(B302,ポイント!$A$1:$D$43,4,FALSE)</f>
        <v>571</v>
      </c>
      <c r="D302" s="2">
        <f>ステ計算型!$B$4</f>
        <v>5</v>
      </c>
      <c r="E302" s="2">
        <f>ステ計算型!$B$6</f>
        <v>127</v>
      </c>
      <c r="F302" s="2">
        <f>ステ計算型!$B$8</f>
        <v>10</v>
      </c>
      <c r="G302" s="2">
        <f>ステ計算型!$B$9</f>
        <v>82</v>
      </c>
      <c r="H302" s="7">
        <f t="shared" si="56"/>
        <v>347</v>
      </c>
      <c r="I302" s="5">
        <f>ステ計算型!$K$3</f>
        <v>7390</v>
      </c>
      <c r="J302" s="5">
        <f>ステ計算型!$N$3</f>
        <v>66</v>
      </c>
      <c r="K302" s="5">
        <v>303</v>
      </c>
      <c r="L302" s="7">
        <f t="shared" si="57"/>
        <v>44</v>
      </c>
      <c r="M302" s="7">
        <f t="shared" si="51"/>
        <v>10685</v>
      </c>
      <c r="N302" s="2">
        <v>1</v>
      </c>
      <c r="O302" s="7">
        <f t="shared" si="49"/>
        <v>0.54</v>
      </c>
      <c r="P302" s="7">
        <f t="shared" si="58"/>
        <v>0.5</v>
      </c>
      <c r="Q302" s="2">
        <f>ステ計算型!$I$29</f>
        <v>1</v>
      </c>
      <c r="R302" s="2">
        <f>ステ計算型!$E$33</f>
        <v>0.2</v>
      </c>
      <c r="S302" s="7">
        <f t="shared" si="59"/>
        <v>6.0359999999999987</v>
      </c>
      <c r="T302" s="2">
        <f>ステ計算型!$I$27</f>
        <v>1.1000000000000001</v>
      </c>
      <c r="U302" s="2">
        <f>ステ計算型!$J$29</f>
        <v>2</v>
      </c>
      <c r="V302" s="2">
        <f>ステ計算型!$F$32</f>
        <v>0.75</v>
      </c>
      <c r="W302" s="2">
        <f>ステ計算型!$G$34</f>
        <v>1</v>
      </c>
      <c r="X302" s="7">
        <f t="shared" si="55"/>
        <v>62023.219499999977</v>
      </c>
      <c r="Y302" s="7">
        <f t="shared" si="52"/>
        <v>400</v>
      </c>
      <c r="Z302" s="7">
        <f t="shared" si="53"/>
        <v>1</v>
      </c>
      <c r="AA302" s="38">
        <f>IF(L302&lt;ステ計算型!$A$20,0,1)</f>
        <v>0</v>
      </c>
      <c r="AB302" s="3">
        <f t="shared" si="54"/>
        <v>0</v>
      </c>
    </row>
    <row r="303" spans="1:28" ht="8.25" customHeight="1">
      <c r="A303" s="3">
        <f t="shared" si="50"/>
        <v>0</v>
      </c>
      <c r="B303" s="2">
        <f>ステ計算型!$B$2</f>
        <v>101</v>
      </c>
      <c r="C303" s="7">
        <f>VLOOKUP(B303,ポイント!$A$1:$D$43,4,FALSE)</f>
        <v>571</v>
      </c>
      <c r="D303" s="2">
        <f>ステ計算型!$B$4</f>
        <v>5</v>
      </c>
      <c r="E303" s="2">
        <f>ステ計算型!$B$6</f>
        <v>127</v>
      </c>
      <c r="F303" s="2">
        <f>ステ計算型!$B$8</f>
        <v>10</v>
      </c>
      <c r="G303" s="2">
        <f>ステ計算型!$B$9</f>
        <v>82</v>
      </c>
      <c r="H303" s="7">
        <f t="shared" si="56"/>
        <v>347</v>
      </c>
      <c r="I303" s="5">
        <f>ステ計算型!$K$3</f>
        <v>7390</v>
      </c>
      <c r="J303" s="5">
        <f>ステ計算型!$N$3</f>
        <v>66</v>
      </c>
      <c r="K303" s="5">
        <v>304</v>
      </c>
      <c r="L303" s="7">
        <f t="shared" si="57"/>
        <v>43</v>
      </c>
      <c r="M303" s="7">
        <f t="shared" si="51"/>
        <v>10610</v>
      </c>
      <c r="N303" s="2">
        <v>1</v>
      </c>
      <c r="O303" s="7">
        <f t="shared" si="49"/>
        <v>0.54</v>
      </c>
      <c r="P303" s="7">
        <f t="shared" si="58"/>
        <v>0.5</v>
      </c>
      <c r="Q303" s="2">
        <f>ステ計算型!$I$29</f>
        <v>1</v>
      </c>
      <c r="R303" s="2">
        <f>ステ計算型!$E$33</f>
        <v>0.2</v>
      </c>
      <c r="S303" s="7">
        <f t="shared" si="59"/>
        <v>6.048</v>
      </c>
      <c r="T303" s="2">
        <f>ステ計算型!$I$27</f>
        <v>1.1000000000000001</v>
      </c>
      <c r="U303" s="2">
        <f>ステ計算型!$J$29</f>
        <v>2</v>
      </c>
      <c r="V303" s="2">
        <f>ステ計算型!$F$32</f>
        <v>0.75</v>
      </c>
      <c r="W303" s="2">
        <f>ステ計算型!$G$34</f>
        <v>1</v>
      </c>
      <c r="X303" s="7">
        <f t="shared" si="55"/>
        <v>61692.906000000003</v>
      </c>
      <c r="Y303" s="7">
        <f t="shared" si="52"/>
        <v>400</v>
      </c>
      <c r="Z303" s="7">
        <f t="shared" si="53"/>
        <v>1</v>
      </c>
      <c r="AA303" s="38">
        <f>IF(L303&lt;ステ計算型!$A$20,0,1)</f>
        <v>0</v>
      </c>
      <c r="AB303" s="3">
        <f t="shared" si="54"/>
        <v>0</v>
      </c>
    </row>
    <row r="304" spans="1:28" ht="8.25" customHeight="1">
      <c r="A304" s="3">
        <f t="shared" si="50"/>
        <v>0</v>
      </c>
      <c r="B304" s="2">
        <f>ステ計算型!$B$2</f>
        <v>101</v>
      </c>
      <c r="C304" s="7">
        <f>VLOOKUP(B304,ポイント!$A$1:$D$43,4,FALSE)</f>
        <v>571</v>
      </c>
      <c r="D304" s="2">
        <f>ステ計算型!$B$4</f>
        <v>5</v>
      </c>
      <c r="E304" s="2">
        <f>ステ計算型!$B$6</f>
        <v>127</v>
      </c>
      <c r="F304" s="2">
        <f>ステ計算型!$B$8</f>
        <v>10</v>
      </c>
      <c r="G304" s="2">
        <f>ステ計算型!$B$9</f>
        <v>82</v>
      </c>
      <c r="H304" s="7">
        <f t="shared" si="56"/>
        <v>347</v>
      </c>
      <c r="I304" s="5">
        <f>ステ計算型!$K$3</f>
        <v>7390</v>
      </c>
      <c r="J304" s="5">
        <f>ステ計算型!$N$3</f>
        <v>66</v>
      </c>
      <c r="K304" s="5">
        <v>305</v>
      </c>
      <c r="L304" s="7">
        <f t="shared" si="57"/>
        <v>42</v>
      </c>
      <c r="M304" s="7">
        <f t="shared" si="51"/>
        <v>10535</v>
      </c>
      <c r="N304" s="2">
        <v>1</v>
      </c>
      <c r="O304" s="7">
        <f t="shared" si="49"/>
        <v>0.54</v>
      </c>
      <c r="P304" s="7">
        <f t="shared" si="58"/>
        <v>0.5</v>
      </c>
      <c r="Q304" s="2">
        <f>ステ計算型!$I$29</f>
        <v>1</v>
      </c>
      <c r="R304" s="2">
        <f>ステ計算型!$E$33</f>
        <v>0.2</v>
      </c>
      <c r="S304" s="7">
        <f t="shared" si="59"/>
        <v>6.06</v>
      </c>
      <c r="T304" s="2">
        <f>ステ計算型!$I$27</f>
        <v>1.1000000000000001</v>
      </c>
      <c r="U304" s="2">
        <f>ステ計算型!$J$29</f>
        <v>2</v>
      </c>
      <c r="V304" s="2">
        <f>ステ計算型!$F$32</f>
        <v>0.75</v>
      </c>
      <c r="W304" s="2">
        <f>ステ計算型!$G$34</f>
        <v>1</v>
      </c>
      <c r="X304" s="7">
        <f t="shared" si="55"/>
        <v>61361.107499999998</v>
      </c>
      <c r="Y304" s="7">
        <f t="shared" si="52"/>
        <v>400</v>
      </c>
      <c r="Z304" s="7">
        <f t="shared" si="53"/>
        <v>1</v>
      </c>
      <c r="AA304" s="38">
        <f>IF(L304&lt;ステ計算型!$A$20,0,1)</f>
        <v>0</v>
      </c>
      <c r="AB304" s="3">
        <f t="shared" si="54"/>
        <v>0</v>
      </c>
    </row>
    <row r="305" spans="1:28" ht="8.25" customHeight="1">
      <c r="A305" s="3">
        <f t="shared" si="50"/>
        <v>0</v>
      </c>
      <c r="B305" s="2">
        <f>ステ計算型!$B$2</f>
        <v>101</v>
      </c>
      <c r="C305" s="7">
        <f>VLOOKUP(B305,ポイント!$A$1:$D$43,4,FALSE)</f>
        <v>571</v>
      </c>
      <c r="D305" s="2">
        <f>ステ計算型!$B$4</f>
        <v>5</v>
      </c>
      <c r="E305" s="2">
        <f>ステ計算型!$B$6</f>
        <v>127</v>
      </c>
      <c r="F305" s="2">
        <f>ステ計算型!$B$8</f>
        <v>10</v>
      </c>
      <c r="G305" s="2">
        <f>ステ計算型!$B$9</f>
        <v>82</v>
      </c>
      <c r="H305" s="7">
        <f t="shared" si="56"/>
        <v>347</v>
      </c>
      <c r="I305" s="5">
        <f>ステ計算型!$K$3</f>
        <v>7390</v>
      </c>
      <c r="J305" s="5">
        <f>ステ計算型!$N$3</f>
        <v>66</v>
      </c>
      <c r="K305" s="5">
        <v>306</v>
      </c>
      <c r="L305" s="7">
        <f t="shared" si="57"/>
        <v>41</v>
      </c>
      <c r="M305" s="7">
        <f t="shared" si="51"/>
        <v>10460</v>
      </c>
      <c r="N305" s="2">
        <v>1</v>
      </c>
      <c r="O305" s="7">
        <f t="shared" si="49"/>
        <v>0.54</v>
      </c>
      <c r="P305" s="7">
        <f t="shared" si="58"/>
        <v>0.5</v>
      </c>
      <c r="Q305" s="2">
        <f>ステ計算型!$I$29</f>
        <v>1</v>
      </c>
      <c r="R305" s="2">
        <f>ステ計算型!$E$33</f>
        <v>0.2</v>
      </c>
      <c r="S305" s="7">
        <f t="shared" si="59"/>
        <v>6.0720000000000001</v>
      </c>
      <c r="T305" s="2">
        <f>ステ計算型!$I$27</f>
        <v>1.1000000000000001</v>
      </c>
      <c r="U305" s="2">
        <f>ステ計算型!$J$29</f>
        <v>2</v>
      </c>
      <c r="V305" s="2">
        <f>ステ計算型!$F$32</f>
        <v>0.75</v>
      </c>
      <c r="W305" s="2">
        <f>ステ計算型!$G$34</f>
        <v>1</v>
      </c>
      <c r="X305" s="7">
        <f t="shared" si="55"/>
        <v>61027.824000000001</v>
      </c>
      <c r="Y305" s="7">
        <f t="shared" si="52"/>
        <v>400</v>
      </c>
      <c r="Z305" s="7">
        <f t="shared" si="53"/>
        <v>1</v>
      </c>
      <c r="AA305" s="38">
        <f>IF(L305&lt;ステ計算型!$A$20,0,1)</f>
        <v>0</v>
      </c>
      <c r="AB305" s="3">
        <f t="shared" si="54"/>
        <v>0</v>
      </c>
    </row>
    <row r="306" spans="1:28" ht="8.25" customHeight="1">
      <c r="A306" s="3">
        <f t="shared" si="50"/>
        <v>0</v>
      </c>
      <c r="B306" s="2">
        <f>ステ計算型!$B$2</f>
        <v>101</v>
      </c>
      <c r="C306" s="7">
        <f>VLOOKUP(B306,ポイント!$A$1:$D$43,4,FALSE)</f>
        <v>571</v>
      </c>
      <c r="D306" s="2">
        <f>ステ計算型!$B$4</f>
        <v>5</v>
      </c>
      <c r="E306" s="2">
        <f>ステ計算型!$B$6</f>
        <v>127</v>
      </c>
      <c r="F306" s="2">
        <f>ステ計算型!$B$8</f>
        <v>10</v>
      </c>
      <c r="G306" s="2">
        <f>ステ計算型!$B$9</f>
        <v>82</v>
      </c>
      <c r="H306" s="7">
        <f t="shared" si="56"/>
        <v>347</v>
      </c>
      <c r="I306" s="5">
        <f>ステ計算型!$K$3</f>
        <v>7390</v>
      </c>
      <c r="J306" s="5">
        <f>ステ計算型!$N$3</f>
        <v>66</v>
      </c>
      <c r="K306" s="5">
        <v>307</v>
      </c>
      <c r="L306" s="7">
        <f t="shared" si="57"/>
        <v>40</v>
      </c>
      <c r="M306" s="7">
        <f t="shared" si="51"/>
        <v>10386</v>
      </c>
      <c r="N306" s="2">
        <v>1</v>
      </c>
      <c r="O306" s="7">
        <f t="shared" si="49"/>
        <v>0.54</v>
      </c>
      <c r="P306" s="7">
        <f t="shared" si="58"/>
        <v>0.5</v>
      </c>
      <c r="Q306" s="2">
        <f>ステ計算型!$I$29</f>
        <v>1</v>
      </c>
      <c r="R306" s="2">
        <f>ステ計算型!$E$33</f>
        <v>0.2</v>
      </c>
      <c r="S306" s="7">
        <f t="shared" si="59"/>
        <v>6.0840000000000005</v>
      </c>
      <c r="T306" s="2">
        <f>ステ計算型!$I$27</f>
        <v>1.1000000000000001</v>
      </c>
      <c r="U306" s="2">
        <f>ステ計算型!$J$29</f>
        <v>2</v>
      </c>
      <c r="V306" s="2">
        <f>ステ計算型!$F$32</f>
        <v>0.75</v>
      </c>
      <c r="W306" s="2">
        <f>ステ計算型!$G$34</f>
        <v>1</v>
      </c>
      <c r="X306" s="7">
        <f t="shared" si="55"/>
        <v>60698.899799999999</v>
      </c>
      <c r="Y306" s="7">
        <f t="shared" si="52"/>
        <v>400</v>
      </c>
      <c r="Z306" s="7">
        <f t="shared" si="53"/>
        <v>1</v>
      </c>
      <c r="AA306" s="38">
        <f>IF(L306&lt;ステ計算型!$A$20,0,1)</f>
        <v>0</v>
      </c>
      <c r="AB306" s="3">
        <f t="shared" si="54"/>
        <v>0</v>
      </c>
    </row>
    <row r="307" spans="1:28" ht="8.25" customHeight="1">
      <c r="A307" s="3">
        <f t="shared" si="50"/>
        <v>0</v>
      </c>
      <c r="B307" s="2">
        <f>ステ計算型!$B$2</f>
        <v>101</v>
      </c>
      <c r="C307" s="7">
        <f>VLOOKUP(B307,ポイント!$A$1:$D$43,4,FALSE)</f>
        <v>571</v>
      </c>
      <c r="D307" s="2">
        <f>ステ計算型!$B$4</f>
        <v>5</v>
      </c>
      <c r="E307" s="2">
        <f>ステ計算型!$B$6</f>
        <v>127</v>
      </c>
      <c r="F307" s="2">
        <f>ステ計算型!$B$8</f>
        <v>10</v>
      </c>
      <c r="G307" s="2">
        <f>ステ計算型!$B$9</f>
        <v>82</v>
      </c>
      <c r="H307" s="7">
        <f t="shared" si="56"/>
        <v>347</v>
      </c>
      <c r="I307" s="5">
        <f>ステ計算型!$K$3</f>
        <v>7390</v>
      </c>
      <c r="J307" s="5">
        <f>ステ計算型!$N$3</f>
        <v>66</v>
      </c>
      <c r="K307" s="5">
        <v>308</v>
      </c>
      <c r="L307" s="7">
        <f t="shared" si="57"/>
        <v>39</v>
      </c>
      <c r="M307" s="7">
        <f t="shared" si="51"/>
        <v>10311</v>
      </c>
      <c r="N307" s="2">
        <v>1</v>
      </c>
      <c r="O307" s="7">
        <f t="shared" si="49"/>
        <v>0.54</v>
      </c>
      <c r="P307" s="7">
        <f t="shared" si="58"/>
        <v>0.5</v>
      </c>
      <c r="Q307" s="2">
        <f>ステ計算型!$I$29</f>
        <v>1</v>
      </c>
      <c r="R307" s="2">
        <f>ステ計算型!$E$33</f>
        <v>0.2</v>
      </c>
      <c r="S307" s="7">
        <f t="shared" si="59"/>
        <v>6.0960000000000001</v>
      </c>
      <c r="T307" s="2">
        <f>ステ計算型!$I$27</f>
        <v>1.1000000000000001</v>
      </c>
      <c r="U307" s="2">
        <f>ステ計算型!$J$29</f>
        <v>2</v>
      </c>
      <c r="V307" s="2">
        <f>ステ計算型!$F$32</f>
        <v>0.75</v>
      </c>
      <c r="W307" s="2">
        <f>ステ計算型!$G$34</f>
        <v>1</v>
      </c>
      <c r="X307" s="7">
        <f t="shared" si="55"/>
        <v>60362.656200000012</v>
      </c>
      <c r="Y307" s="7">
        <f t="shared" si="52"/>
        <v>400</v>
      </c>
      <c r="Z307" s="7">
        <f t="shared" si="53"/>
        <v>1</v>
      </c>
      <c r="AA307" s="38">
        <f>IF(L307&lt;ステ計算型!$A$20,0,1)</f>
        <v>0</v>
      </c>
      <c r="AB307" s="3">
        <f t="shared" si="54"/>
        <v>0</v>
      </c>
    </row>
    <row r="308" spans="1:28" ht="8.25" customHeight="1">
      <c r="A308" s="3">
        <f t="shared" si="50"/>
        <v>0</v>
      </c>
      <c r="B308" s="2">
        <f>ステ計算型!$B$2</f>
        <v>101</v>
      </c>
      <c r="C308" s="7">
        <f>VLOOKUP(B308,ポイント!$A$1:$D$43,4,FALSE)</f>
        <v>571</v>
      </c>
      <c r="D308" s="2">
        <f>ステ計算型!$B$4</f>
        <v>5</v>
      </c>
      <c r="E308" s="2">
        <f>ステ計算型!$B$6</f>
        <v>127</v>
      </c>
      <c r="F308" s="2">
        <f>ステ計算型!$B$8</f>
        <v>10</v>
      </c>
      <c r="G308" s="2">
        <f>ステ計算型!$B$9</f>
        <v>82</v>
      </c>
      <c r="H308" s="7">
        <f t="shared" si="56"/>
        <v>347</v>
      </c>
      <c r="I308" s="5">
        <f>ステ計算型!$K$3</f>
        <v>7390</v>
      </c>
      <c r="J308" s="5">
        <f>ステ計算型!$N$3</f>
        <v>66</v>
      </c>
      <c r="K308" s="5">
        <v>309</v>
      </c>
      <c r="L308" s="7">
        <f t="shared" si="57"/>
        <v>38</v>
      </c>
      <c r="M308" s="7">
        <f t="shared" si="51"/>
        <v>10236</v>
      </c>
      <c r="N308" s="2">
        <v>1</v>
      </c>
      <c r="O308" s="7">
        <f t="shared" si="49"/>
        <v>0.54</v>
      </c>
      <c r="P308" s="7">
        <f t="shared" si="58"/>
        <v>0.5</v>
      </c>
      <c r="Q308" s="2">
        <f>ステ計算型!$I$29</f>
        <v>1</v>
      </c>
      <c r="R308" s="2">
        <f>ステ計算型!$E$33</f>
        <v>0.2</v>
      </c>
      <c r="S308" s="7">
        <f t="shared" si="59"/>
        <v>6.1079999999999997</v>
      </c>
      <c r="T308" s="2">
        <f>ステ計算型!$I$27</f>
        <v>1.1000000000000001</v>
      </c>
      <c r="U308" s="2">
        <f>ステ計算型!$J$29</f>
        <v>2</v>
      </c>
      <c r="V308" s="2">
        <f>ステ計算型!$F$32</f>
        <v>0.75</v>
      </c>
      <c r="W308" s="2">
        <f>ステ計算型!$G$34</f>
        <v>1</v>
      </c>
      <c r="X308" s="7">
        <f t="shared" si="55"/>
        <v>60024.92760000001</v>
      </c>
      <c r="Y308" s="7">
        <f t="shared" si="52"/>
        <v>400</v>
      </c>
      <c r="Z308" s="7">
        <f t="shared" si="53"/>
        <v>1</v>
      </c>
      <c r="AA308" s="38">
        <f>IF(L308&lt;ステ計算型!$A$20,0,1)</f>
        <v>0</v>
      </c>
      <c r="AB308" s="3">
        <f t="shared" si="54"/>
        <v>0</v>
      </c>
    </row>
    <row r="309" spans="1:28" ht="8.25" customHeight="1">
      <c r="A309" s="3">
        <f t="shared" si="50"/>
        <v>0</v>
      </c>
      <c r="B309" s="2">
        <f>ステ計算型!$B$2</f>
        <v>101</v>
      </c>
      <c r="C309" s="7">
        <f>VLOOKUP(B309,ポイント!$A$1:$D$43,4,FALSE)</f>
        <v>571</v>
      </c>
      <c r="D309" s="2">
        <f>ステ計算型!$B$4</f>
        <v>5</v>
      </c>
      <c r="E309" s="2">
        <f>ステ計算型!$B$6</f>
        <v>127</v>
      </c>
      <c r="F309" s="2">
        <f>ステ計算型!$B$8</f>
        <v>10</v>
      </c>
      <c r="G309" s="2">
        <f>ステ計算型!$B$9</f>
        <v>82</v>
      </c>
      <c r="H309" s="7">
        <f t="shared" si="56"/>
        <v>347</v>
      </c>
      <c r="I309" s="5">
        <f>ステ計算型!$K$3</f>
        <v>7390</v>
      </c>
      <c r="J309" s="5">
        <f>ステ計算型!$N$3</f>
        <v>66</v>
      </c>
      <c r="K309" s="5">
        <v>310</v>
      </c>
      <c r="L309" s="7">
        <f t="shared" si="57"/>
        <v>37</v>
      </c>
      <c r="M309" s="7">
        <f t="shared" si="51"/>
        <v>10161</v>
      </c>
      <c r="N309" s="2">
        <v>1</v>
      </c>
      <c r="O309" s="7">
        <f t="shared" si="49"/>
        <v>0.55000000000000004</v>
      </c>
      <c r="P309" s="7">
        <f t="shared" si="58"/>
        <v>0.5</v>
      </c>
      <c r="Q309" s="2">
        <f>ステ計算型!$I$29</f>
        <v>1</v>
      </c>
      <c r="R309" s="2">
        <f>ステ計算型!$E$33</f>
        <v>0.2</v>
      </c>
      <c r="S309" s="7">
        <f t="shared" si="59"/>
        <v>6.1199999999999992</v>
      </c>
      <c r="T309" s="2">
        <f>ステ計算型!$I$27</f>
        <v>1.1000000000000001</v>
      </c>
      <c r="U309" s="2">
        <f>ステ計算型!$J$29</f>
        <v>2</v>
      </c>
      <c r="V309" s="2">
        <f>ステ計算型!$F$32</f>
        <v>0.75</v>
      </c>
      <c r="W309" s="2">
        <f>ステ計算型!$G$34</f>
        <v>1</v>
      </c>
      <c r="X309" s="7">
        <f t="shared" si="55"/>
        <v>59685.714000000007</v>
      </c>
      <c r="Y309" s="7">
        <f t="shared" si="52"/>
        <v>400</v>
      </c>
      <c r="Z309" s="7">
        <f t="shared" si="53"/>
        <v>1</v>
      </c>
      <c r="AA309" s="38">
        <f>IF(L309&lt;ステ計算型!$A$20,0,1)</f>
        <v>0</v>
      </c>
      <c r="AB309" s="3">
        <f t="shared" si="54"/>
        <v>0</v>
      </c>
    </row>
    <row r="310" spans="1:28" ht="8.25" customHeight="1">
      <c r="A310" s="3">
        <f t="shared" si="50"/>
        <v>0</v>
      </c>
      <c r="B310" s="2">
        <f>ステ計算型!$B$2</f>
        <v>101</v>
      </c>
      <c r="C310" s="7">
        <f>VLOOKUP(B310,ポイント!$A$1:$D$43,4,FALSE)</f>
        <v>571</v>
      </c>
      <c r="D310" s="2">
        <f>ステ計算型!$B$4</f>
        <v>5</v>
      </c>
      <c r="E310" s="2">
        <f>ステ計算型!$B$6</f>
        <v>127</v>
      </c>
      <c r="F310" s="2">
        <f>ステ計算型!$B$8</f>
        <v>10</v>
      </c>
      <c r="G310" s="2">
        <f>ステ計算型!$B$9</f>
        <v>82</v>
      </c>
      <c r="H310" s="7">
        <f t="shared" si="56"/>
        <v>347</v>
      </c>
      <c r="I310" s="5">
        <f>ステ計算型!$K$3</f>
        <v>7390</v>
      </c>
      <c r="J310" s="5">
        <f>ステ計算型!$N$3</f>
        <v>66</v>
      </c>
      <c r="K310" s="5">
        <v>311</v>
      </c>
      <c r="L310" s="7">
        <f t="shared" si="57"/>
        <v>36</v>
      </c>
      <c r="M310" s="7">
        <f t="shared" si="51"/>
        <v>10086</v>
      </c>
      <c r="N310" s="2">
        <v>1</v>
      </c>
      <c r="O310" s="7">
        <f t="shared" si="49"/>
        <v>0.55000000000000004</v>
      </c>
      <c r="P310" s="7">
        <f t="shared" si="58"/>
        <v>0.5</v>
      </c>
      <c r="Q310" s="2">
        <f>ステ計算型!$I$29</f>
        <v>1</v>
      </c>
      <c r="R310" s="2">
        <f>ステ計算型!$E$33</f>
        <v>0.2</v>
      </c>
      <c r="S310" s="7">
        <f t="shared" si="59"/>
        <v>6.1319999999999988</v>
      </c>
      <c r="T310" s="2">
        <f>ステ計算型!$I$27</f>
        <v>1.1000000000000001</v>
      </c>
      <c r="U310" s="2">
        <f>ステ計算型!$J$29</f>
        <v>2</v>
      </c>
      <c r="V310" s="2">
        <f>ステ計算型!$F$32</f>
        <v>0.75</v>
      </c>
      <c r="W310" s="2">
        <f>ステ計算型!$G$34</f>
        <v>1</v>
      </c>
      <c r="X310" s="7">
        <f t="shared" si="55"/>
        <v>59345.015399999989</v>
      </c>
      <c r="Y310" s="7">
        <f t="shared" si="52"/>
        <v>400</v>
      </c>
      <c r="Z310" s="7">
        <f t="shared" si="53"/>
        <v>1</v>
      </c>
      <c r="AA310" s="38">
        <f>IF(L310&lt;ステ計算型!$A$20,0,1)</f>
        <v>0</v>
      </c>
      <c r="AB310" s="3">
        <f t="shared" si="54"/>
        <v>0</v>
      </c>
    </row>
    <row r="311" spans="1:28" ht="8.25" customHeight="1">
      <c r="A311" s="3">
        <f t="shared" si="50"/>
        <v>0</v>
      </c>
      <c r="B311" s="2">
        <f>ステ計算型!$B$2</f>
        <v>101</v>
      </c>
      <c r="C311" s="7">
        <f>VLOOKUP(B311,ポイント!$A$1:$D$43,4,FALSE)</f>
        <v>571</v>
      </c>
      <c r="D311" s="2">
        <f>ステ計算型!$B$4</f>
        <v>5</v>
      </c>
      <c r="E311" s="2">
        <f>ステ計算型!$B$6</f>
        <v>127</v>
      </c>
      <c r="F311" s="2">
        <f>ステ計算型!$B$8</f>
        <v>10</v>
      </c>
      <c r="G311" s="2">
        <f>ステ計算型!$B$9</f>
        <v>82</v>
      </c>
      <c r="H311" s="7">
        <f t="shared" si="56"/>
        <v>347</v>
      </c>
      <c r="I311" s="5">
        <f>ステ計算型!$K$3</f>
        <v>7390</v>
      </c>
      <c r="J311" s="5">
        <f>ステ計算型!$N$3</f>
        <v>66</v>
      </c>
      <c r="K311" s="5">
        <v>312</v>
      </c>
      <c r="L311" s="7">
        <f t="shared" si="57"/>
        <v>35</v>
      </c>
      <c r="M311" s="7">
        <f t="shared" si="51"/>
        <v>10011</v>
      </c>
      <c r="N311" s="2">
        <v>1</v>
      </c>
      <c r="O311" s="7">
        <f t="shared" si="49"/>
        <v>0.55000000000000004</v>
      </c>
      <c r="P311" s="7">
        <f t="shared" si="58"/>
        <v>0.5</v>
      </c>
      <c r="Q311" s="2">
        <f>ステ計算型!$I$29</f>
        <v>1</v>
      </c>
      <c r="R311" s="2">
        <f>ステ計算型!$E$33</f>
        <v>0.2</v>
      </c>
      <c r="S311" s="7">
        <f t="shared" si="59"/>
        <v>6.1440000000000001</v>
      </c>
      <c r="T311" s="2">
        <f>ステ計算型!$I$27</f>
        <v>1.1000000000000001</v>
      </c>
      <c r="U311" s="2">
        <f>ステ計算型!$J$29</f>
        <v>2</v>
      </c>
      <c r="V311" s="2">
        <f>ステ計算型!$F$32</f>
        <v>0.75</v>
      </c>
      <c r="W311" s="2">
        <f>ステ計算型!$G$34</f>
        <v>1</v>
      </c>
      <c r="X311" s="7">
        <f t="shared" si="55"/>
        <v>59002.831800000014</v>
      </c>
      <c r="Y311" s="7">
        <f t="shared" si="52"/>
        <v>400</v>
      </c>
      <c r="Z311" s="7">
        <f t="shared" si="53"/>
        <v>1</v>
      </c>
      <c r="AA311" s="38">
        <f>IF(L311&lt;ステ計算型!$A$20,0,1)</f>
        <v>0</v>
      </c>
      <c r="AB311" s="3">
        <f t="shared" si="54"/>
        <v>0</v>
      </c>
    </row>
    <row r="312" spans="1:28" ht="8.25" customHeight="1">
      <c r="A312" s="3">
        <f t="shared" si="50"/>
        <v>0</v>
      </c>
      <c r="B312" s="2">
        <f>ステ計算型!$B$2</f>
        <v>101</v>
      </c>
      <c r="C312" s="7">
        <f>VLOOKUP(B312,ポイント!$A$1:$D$43,4,FALSE)</f>
        <v>571</v>
      </c>
      <c r="D312" s="2">
        <f>ステ計算型!$B$4</f>
        <v>5</v>
      </c>
      <c r="E312" s="2">
        <f>ステ計算型!$B$6</f>
        <v>127</v>
      </c>
      <c r="F312" s="2">
        <f>ステ計算型!$B$8</f>
        <v>10</v>
      </c>
      <c r="G312" s="2">
        <f>ステ計算型!$B$9</f>
        <v>82</v>
      </c>
      <c r="H312" s="7">
        <f t="shared" si="56"/>
        <v>347</v>
      </c>
      <c r="I312" s="5">
        <f>ステ計算型!$K$3</f>
        <v>7390</v>
      </c>
      <c r="J312" s="5">
        <f>ステ計算型!$N$3</f>
        <v>66</v>
      </c>
      <c r="K312" s="5">
        <v>313</v>
      </c>
      <c r="L312" s="7">
        <f t="shared" si="57"/>
        <v>34</v>
      </c>
      <c r="M312" s="7">
        <f t="shared" si="51"/>
        <v>9936</v>
      </c>
      <c r="N312" s="2">
        <v>1</v>
      </c>
      <c r="O312" s="7">
        <f t="shared" si="49"/>
        <v>0.55000000000000004</v>
      </c>
      <c r="P312" s="7">
        <f t="shared" si="58"/>
        <v>0.5</v>
      </c>
      <c r="Q312" s="2">
        <f>ステ計算型!$I$29</f>
        <v>1</v>
      </c>
      <c r="R312" s="2">
        <f>ステ計算型!$E$33</f>
        <v>0.2</v>
      </c>
      <c r="S312" s="7">
        <f t="shared" si="59"/>
        <v>6.1559999999999997</v>
      </c>
      <c r="T312" s="2">
        <f>ステ計算型!$I$27</f>
        <v>1.1000000000000001</v>
      </c>
      <c r="U312" s="2">
        <f>ステ計算型!$J$29</f>
        <v>2</v>
      </c>
      <c r="V312" s="2">
        <f>ステ計算型!$F$32</f>
        <v>0.75</v>
      </c>
      <c r="W312" s="2">
        <f>ステ計算型!$G$34</f>
        <v>1</v>
      </c>
      <c r="X312" s="7">
        <f t="shared" si="55"/>
        <v>58659.163199999995</v>
      </c>
      <c r="Y312" s="7">
        <f t="shared" si="52"/>
        <v>400</v>
      </c>
      <c r="Z312" s="7">
        <f t="shared" si="53"/>
        <v>1</v>
      </c>
      <c r="AA312" s="38">
        <f>IF(L312&lt;ステ計算型!$A$20,0,1)</f>
        <v>0</v>
      </c>
      <c r="AB312" s="3">
        <f t="shared" si="54"/>
        <v>0</v>
      </c>
    </row>
    <row r="313" spans="1:28" ht="8.25" customHeight="1">
      <c r="A313" s="3">
        <f t="shared" si="50"/>
        <v>0</v>
      </c>
      <c r="B313" s="2">
        <f>ステ計算型!$B$2</f>
        <v>101</v>
      </c>
      <c r="C313" s="7">
        <f>VLOOKUP(B313,ポイント!$A$1:$D$43,4,FALSE)</f>
        <v>571</v>
      </c>
      <c r="D313" s="2">
        <f>ステ計算型!$B$4</f>
        <v>5</v>
      </c>
      <c r="E313" s="2">
        <f>ステ計算型!$B$6</f>
        <v>127</v>
      </c>
      <c r="F313" s="2">
        <f>ステ計算型!$B$8</f>
        <v>10</v>
      </c>
      <c r="G313" s="2">
        <f>ステ計算型!$B$9</f>
        <v>82</v>
      </c>
      <c r="H313" s="7">
        <f t="shared" si="56"/>
        <v>347</v>
      </c>
      <c r="I313" s="5">
        <f>ステ計算型!$K$3</f>
        <v>7390</v>
      </c>
      <c r="J313" s="5">
        <f>ステ計算型!$N$3</f>
        <v>66</v>
      </c>
      <c r="K313" s="5">
        <v>314</v>
      </c>
      <c r="L313" s="7">
        <f t="shared" si="57"/>
        <v>33</v>
      </c>
      <c r="M313" s="7">
        <f t="shared" si="51"/>
        <v>9861</v>
      </c>
      <c r="N313" s="2">
        <v>1</v>
      </c>
      <c r="O313" s="7">
        <f t="shared" si="49"/>
        <v>0.55000000000000004</v>
      </c>
      <c r="P313" s="7">
        <f t="shared" si="58"/>
        <v>0.5</v>
      </c>
      <c r="Q313" s="2">
        <f>ステ計算型!$I$29</f>
        <v>1</v>
      </c>
      <c r="R313" s="2">
        <f>ステ計算型!$E$33</f>
        <v>0.2</v>
      </c>
      <c r="S313" s="7">
        <f t="shared" si="59"/>
        <v>6.1680000000000001</v>
      </c>
      <c r="T313" s="2">
        <f>ステ計算型!$I$27</f>
        <v>1.1000000000000001</v>
      </c>
      <c r="U313" s="2">
        <f>ステ計算型!$J$29</f>
        <v>2</v>
      </c>
      <c r="V313" s="2">
        <f>ステ計算型!$F$32</f>
        <v>0.75</v>
      </c>
      <c r="W313" s="2">
        <f>ステ計算型!$G$34</f>
        <v>1</v>
      </c>
      <c r="X313" s="7">
        <f t="shared" si="55"/>
        <v>58314.009599999998</v>
      </c>
      <c r="Y313" s="7">
        <f t="shared" si="52"/>
        <v>400</v>
      </c>
      <c r="Z313" s="7">
        <f t="shared" si="53"/>
        <v>1</v>
      </c>
      <c r="AA313" s="38">
        <f>IF(L313&lt;ステ計算型!$A$20,0,1)</f>
        <v>0</v>
      </c>
      <c r="AB313" s="3">
        <f t="shared" si="54"/>
        <v>0</v>
      </c>
    </row>
    <row r="314" spans="1:28" ht="8.25" customHeight="1">
      <c r="A314" s="3">
        <f t="shared" si="50"/>
        <v>0</v>
      </c>
      <c r="B314" s="2">
        <f>ステ計算型!$B$2</f>
        <v>101</v>
      </c>
      <c r="C314" s="7">
        <f>VLOOKUP(B314,ポイント!$A$1:$D$43,4,FALSE)</f>
        <v>571</v>
      </c>
      <c r="D314" s="2">
        <f>ステ計算型!$B$4</f>
        <v>5</v>
      </c>
      <c r="E314" s="2">
        <f>ステ計算型!$B$6</f>
        <v>127</v>
      </c>
      <c r="F314" s="2">
        <f>ステ計算型!$B$8</f>
        <v>10</v>
      </c>
      <c r="G314" s="2">
        <f>ステ計算型!$B$9</f>
        <v>82</v>
      </c>
      <c r="H314" s="7">
        <f t="shared" si="56"/>
        <v>347</v>
      </c>
      <c r="I314" s="5">
        <f>ステ計算型!$K$3</f>
        <v>7390</v>
      </c>
      <c r="J314" s="5">
        <f>ステ計算型!$N$3</f>
        <v>66</v>
      </c>
      <c r="K314" s="5">
        <v>315</v>
      </c>
      <c r="L314" s="7">
        <f t="shared" si="57"/>
        <v>32</v>
      </c>
      <c r="M314" s="7">
        <f t="shared" si="51"/>
        <v>9786</v>
      </c>
      <c r="N314" s="2">
        <v>1</v>
      </c>
      <c r="O314" s="7">
        <f t="shared" si="49"/>
        <v>0.55000000000000004</v>
      </c>
      <c r="P314" s="7">
        <f t="shared" si="58"/>
        <v>0.5</v>
      </c>
      <c r="Q314" s="2">
        <f>ステ計算型!$I$29</f>
        <v>1</v>
      </c>
      <c r="R314" s="2">
        <f>ステ計算型!$E$33</f>
        <v>0.2</v>
      </c>
      <c r="S314" s="7">
        <f t="shared" si="59"/>
        <v>6.1800000000000006</v>
      </c>
      <c r="T314" s="2">
        <f>ステ計算型!$I$27</f>
        <v>1.1000000000000001</v>
      </c>
      <c r="U314" s="2">
        <f>ステ計算型!$J$29</f>
        <v>2</v>
      </c>
      <c r="V314" s="2">
        <f>ステ計算型!$F$32</f>
        <v>0.75</v>
      </c>
      <c r="W314" s="2">
        <f>ステ計算型!$G$34</f>
        <v>1</v>
      </c>
      <c r="X314" s="7">
        <f t="shared" si="55"/>
        <v>57967.371000000006</v>
      </c>
      <c r="Y314" s="7">
        <f t="shared" si="52"/>
        <v>400</v>
      </c>
      <c r="Z314" s="7">
        <f t="shared" si="53"/>
        <v>1</v>
      </c>
      <c r="AA314" s="38">
        <f>IF(L314&lt;ステ計算型!$A$20,0,1)</f>
        <v>0</v>
      </c>
      <c r="AB314" s="3">
        <f t="shared" si="54"/>
        <v>0</v>
      </c>
    </row>
    <row r="315" spans="1:28" ht="8.25" customHeight="1">
      <c r="A315" s="3">
        <f t="shared" si="50"/>
        <v>0</v>
      </c>
      <c r="B315" s="2">
        <f>ステ計算型!$B$2</f>
        <v>101</v>
      </c>
      <c r="C315" s="7">
        <f>VLOOKUP(B315,ポイント!$A$1:$D$43,4,FALSE)</f>
        <v>571</v>
      </c>
      <c r="D315" s="2">
        <f>ステ計算型!$B$4</f>
        <v>5</v>
      </c>
      <c r="E315" s="2">
        <f>ステ計算型!$B$6</f>
        <v>127</v>
      </c>
      <c r="F315" s="2">
        <f>ステ計算型!$B$8</f>
        <v>10</v>
      </c>
      <c r="G315" s="2">
        <f>ステ計算型!$B$9</f>
        <v>82</v>
      </c>
      <c r="H315" s="7">
        <f t="shared" si="56"/>
        <v>347</v>
      </c>
      <c r="I315" s="5">
        <f>ステ計算型!$K$3</f>
        <v>7390</v>
      </c>
      <c r="J315" s="5">
        <f>ステ計算型!$N$3</f>
        <v>66</v>
      </c>
      <c r="K315" s="5">
        <v>316</v>
      </c>
      <c r="L315" s="7">
        <f t="shared" si="57"/>
        <v>31</v>
      </c>
      <c r="M315" s="7">
        <f t="shared" si="51"/>
        <v>9711</v>
      </c>
      <c r="N315" s="2">
        <v>1</v>
      </c>
      <c r="O315" s="7">
        <f t="shared" si="49"/>
        <v>0.55000000000000004</v>
      </c>
      <c r="P315" s="7">
        <f t="shared" si="58"/>
        <v>0.5</v>
      </c>
      <c r="Q315" s="2">
        <f>ステ計算型!$I$29</f>
        <v>1</v>
      </c>
      <c r="R315" s="2">
        <f>ステ計算型!$E$33</f>
        <v>0.2</v>
      </c>
      <c r="S315" s="7">
        <f t="shared" si="59"/>
        <v>6.1920000000000002</v>
      </c>
      <c r="T315" s="2">
        <f>ステ計算型!$I$27</f>
        <v>1.1000000000000001</v>
      </c>
      <c r="U315" s="2">
        <f>ステ計算型!$J$29</f>
        <v>2</v>
      </c>
      <c r="V315" s="2">
        <f>ステ計算型!$F$32</f>
        <v>0.75</v>
      </c>
      <c r="W315" s="2">
        <f>ステ計算型!$G$34</f>
        <v>1</v>
      </c>
      <c r="X315" s="7">
        <f t="shared" si="55"/>
        <v>57619.247400000007</v>
      </c>
      <c r="Y315" s="7">
        <f t="shared" si="52"/>
        <v>400</v>
      </c>
      <c r="Z315" s="7">
        <f t="shared" si="53"/>
        <v>1</v>
      </c>
      <c r="AA315" s="38">
        <f>IF(L315&lt;ステ計算型!$A$20,0,1)</f>
        <v>0</v>
      </c>
      <c r="AB315" s="3">
        <f t="shared" si="54"/>
        <v>0</v>
      </c>
    </row>
    <row r="316" spans="1:28" ht="8.25" customHeight="1">
      <c r="A316" s="3">
        <f t="shared" si="50"/>
        <v>0</v>
      </c>
      <c r="B316" s="2">
        <f>ステ計算型!$B$2</f>
        <v>101</v>
      </c>
      <c r="C316" s="7">
        <f>VLOOKUP(B316,ポイント!$A$1:$D$43,4,FALSE)</f>
        <v>571</v>
      </c>
      <c r="D316" s="2">
        <f>ステ計算型!$B$4</f>
        <v>5</v>
      </c>
      <c r="E316" s="2">
        <f>ステ計算型!$B$6</f>
        <v>127</v>
      </c>
      <c r="F316" s="2">
        <f>ステ計算型!$B$8</f>
        <v>10</v>
      </c>
      <c r="G316" s="2">
        <f>ステ計算型!$B$9</f>
        <v>82</v>
      </c>
      <c r="H316" s="7">
        <f t="shared" si="56"/>
        <v>347</v>
      </c>
      <c r="I316" s="5">
        <f>ステ計算型!$K$3</f>
        <v>7390</v>
      </c>
      <c r="J316" s="5">
        <f>ステ計算型!$N$3</f>
        <v>66</v>
      </c>
      <c r="K316" s="5">
        <v>317</v>
      </c>
      <c r="L316" s="7">
        <f t="shared" si="57"/>
        <v>30</v>
      </c>
      <c r="M316" s="7">
        <f t="shared" si="51"/>
        <v>9637</v>
      </c>
      <c r="N316" s="2">
        <v>1</v>
      </c>
      <c r="O316" s="7">
        <f t="shared" si="49"/>
        <v>0.56000000000000005</v>
      </c>
      <c r="P316" s="7">
        <f t="shared" si="58"/>
        <v>0.5</v>
      </c>
      <c r="Q316" s="2">
        <f>ステ計算型!$I$29</f>
        <v>1</v>
      </c>
      <c r="R316" s="2">
        <f>ステ計算型!$E$33</f>
        <v>0.2</v>
      </c>
      <c r="S316" s="7">
        <f t="shared" si="59"/>
        <v>6.2039999999999997</v>
      </c>
      <c r="T316" s="2">
        <f>ステ計算型!$I$27</f>
        <v>1.1000000000000001</v>
      </c>
      <c r="U316" s="2">
        <f>ステ計算型!$J$29</f>
        <v>2</v>
      </c>
      <c r="V316" s="2">
        <f>ステ計算型!$F$32</f>
        <v>0.75</v>
      </c>
      <c r="W316" s="2">
        <f>ステ計算型!$G$34</f>
        <v>1</v>
      </c>
      <c r="X316" s="7">
        <f t="shared" si="55"/>
        <v>57275.5821</v>
      </c>
      <c r="Y316" s="7">
        <f t="shared" si="52"/>
        <v>400</v>
      </c>
      <c r="Z316" s="7">
        <f t="shared" si="53"/>
        <v>1</v>
      </c>
      <c r="AA316" s="38">
        <f>IF(L316&lt;ステ計算型!$A$20,0,1)</f>
        <v>0</v>
      </c>
      <c r="AB316" s="3">
        <f t="shared" si="54"/>
        <v>0</v>
      </c>
    </row>
    <row r="317" spans="1:28" ht="8.25" customHeight="1">
      <c r="A317" s="3">
        <f t="shared" si="50"/>
        <v>0</v>
      </c>
      <c r="B317" s="2">
        <f>ステ計算型!$B$2</f>
        <v>101</v>
      </c>
      <c r="C317" s="7">
        <f>VLOOKUP(B317,ポイント!$A$1:$D$43,4,FALSE)</f>
        <v>571</v>
      </c>
      <c r="D317" s="2">
        <f>ステ計算型!$B$4</f>
        <v>5</v>
      </c>
      <c r="E317" s="2">
        <f>ステ計算型!$B$6</f>
        <v>127</v>
      </c>
      <c r="F317" s="2">
        <f>ステ計算型!$B$8</f>
        <v>10</v>
      </c>
      <c r="G317" s="2">
        <f>ステ計算型!$B$9</f>
        <v>82</v>
      </c>
      <c r="H317" s="7">
        <f t="shared" si="56"/>
        <v>347</v>
      </c>
      <c r="I317" s="5">
        <f>ステ計算型!$K$3</f>
        <v>7390</v>
      </c>
      <c r="J317" s="5">
        <f>ステ計算型!$N$3</f>
        <v>66</v>
      </c>
      <c r="K317" s="5">
        <v>318</v>
      </c>
      <c r="L317" s="7">
        <f t="shared" si="57"/>
        <v>29</v>
      </c>
      <c r="M317" s="7">
        <f t="shared" si="51"/>
        <v>9562</v>
      </c>
      <c r="N317" s="2">
        <v>1</v>
      </c>
      <c r="O317" s="7">
        <f t="shared" si="49"/>
        <v>0.56000000000000005</v>
      </c>
      <c r="P317" s="7">
        <f t="shared" si="58"/>
        <v>0.5</v>
      </c>
      <c r="Q317" s="2">
        <f>ステ計算型!$I$29</f>
        <v>1</v>
      </c>
      <c r="R317" s="2">
        <f>ステ計算型!$E$33</f>
        <v>0.2</v>
      </c>
      <c r="S317" s="7">
        <f t="shared" si="59"/>
        <v>6.2159999999999993</v>
      </c>
      <c r="T317" s="2">
        <f>ステ計算型!$I$27</f>
        <v>1.1000000000000001</v>
      </c>
      <c r="U317" s="2">
        <f>ステ計算型!$J$29</f>
        <v>2</v>
      </c>
      <c r="V317" s="2">
        <f>ステ計算型!$F$32</f>
        <v>0.75</v>
      </c>
      <c r="W317" s="2">
        <f>ステ計算型!$G$34</f>
        <v>1</v>
      </c>
      <c r="X317" s="7">
        <f t="shared" si="55"/>
        <v>56924.498399999997</v>
      </c>
      <c r="Y317" s="7">
        <f t="shared" si="52"/>
        <v>400</v>
      </c>
      <c r="Z317" s="7">
        <f t="shared" si="53"/>
        <v>1</v>
      </c>
      <c r="AA317" s="38">
        <f>IF(L317&lt;ステ計算型!$A$20,0,1)</f>
        <v>0</v>
      </c>
      <c r="AB317" s="3">
        <f t="shared" si="54"/>
        <v>0</v>
      </c>
    </row>
    <row r="318" spans="1:28" ht="8.25" customHeight="1">
      <c r="A318" s="3">
        <f t="shared" si="50"/>
        <v>0</v>
      </c>
      <c r="B318" s="2">
        <f>ステ計算型!$B$2</f>
        <v>101</v>
      </c>
      <c r="C318" s="7">
        <f>VLOOKUP(B318,ポイント!$A$1:$D$43,4,FALSE)</f>
        <v>571</v>
      </c>
      <c r="D318" s="2">
        <f>ステ計算型!$B$4</f>
        <v>5</v>
      </c>
      <c r="E318" s="2">
        <f>ステ計算型!$B$6</f>
        <v>127</v>
      </c>
      <c r="F318" s="2">
        <f>ステ計算型!$B$8</f>
        <v>10</v>
      </c>
      <c r="G318" s="2">
        <f>ステ計算型!$B$9</f>
        <v>82</v>
      </c>
      <c r="H318" s="7">
        <f t="shared" si="56"/>
        <v>347</v>
      </c>
      <c r="I318" s="5">
        <f>ステ計算型!$K$3</f>
        <v>7390</v>
      </c>
      <c r="J318" s="5">
        <f>ステ計算型!$N$3</f>
        <v>66</v>
      </c>
      <c r="K318" s="5">
        <v>319</v>
      </c>
      <c r="L318" s="7">
        <f t="shared" si="57"/>
        <v>28</v>
      </c>
      <c r="M318" s="7">
        <f t="shared" si="51"/>
        <v>9487</v>
      </c>
      <c r="N318" s="2">
        <v>1</v>
      </c>
      <c r="O318" s="7">
        <f t="shared" si="49"/>
        <v>0.56000000000000005</v>
      </c>
      <c r="P318" s="7">
        <f t="shared" si="58"/>
        <v>0.5</v>
      </c>
      <c r="Q318" s="2">
        <f>ステ計算型!$I$29</f>
        <v>1</v>
      </c>
      <c r="R318" s="2">
        <f>ステ計算型!$E$33</f>
        <v>0.2</v>
      </c>
      <c r="S318" s="7">
        <f t="shared" si="59"/>
        <v>6.2279999999999989</v>
      </c>
      <c r="T318" s="2">
        <f>ステ計算型!$I$27</f>
        <v>1.1000000000000001</v>
      </c>
      <c r="U318" s="2">
        <f>ステ計算型!$J$29</f>
        <v>2</v>
      </c>
      <c r="V318" s="2">
        <f>ステ計算型!$F$32</f>
        <v>0.75</v>
      </c>
      <c r="W318" s="2">
        <f>ステ計算型!$G$34</f>
        <v>1</v>
      </c>
      <c r="X318" s="7">
        <f t="shared" si="55"/>
        <v>56571.929699999993</v>
      </c>
      <c r="Y318" s="7">
        <f t="shared" si="52"/>
        <v>400</v>
      </c>
      <c r="Z318" s="7">
        <f t="shared" si="53"/>
        <v>1</v>
      </c>
      <c r="AA318" s="38">
        <f>IF(L318&lt;ステ計算型!$A$20,0,1)</f>
        <v>0</v>
      </c>
      <c r="AB318" s="3">
        <f t="shared" si="54"/>
        <v>0</v>
      </c>
    </row>
    <row r="319" spans="1:28" ht="8.25" customHeight="1">
      <c r="A319" s="3">
        <f t="shared" si="50"/>
        <v>0</v>
      </c>
      <c r="B319" s="2">
        <f>ステ計算型!$B$2</f>
        <v>101</v>
      </c>
      <c r="C319" s="7">
        <f>VLOOKUP(B319,ポイント!$A$1:$D$43,4,FALSE)</f>
        <v>571</v>
      </c>
      <c r="D319" s="2">
        <f>ステ計算型!$B$4</f>
        <v>5</v>
      </c>
      <c r="E319" s="2">
        <f>ステ計算型!$B$6</f>
        <v>127</v>
      </c>
      <c r="F319" s="2">
        <f>ステ計算型!$B$8</f>
        <v>10</v>
      </c>
      <c r="G319" s="2">
        <f>ステ計算型!$B$9</f>
        <v>82</v>
      </c>
      <c r="H319" s="7">
        <f t="shared" si="56"/>
        <v>347</v>
      </c>
      <c r="I319" s="5">
        <f>ステ計算型!$K$3</f>
        <v>7390</v>
      </c>
      <c r="J319" s="5">
        <f>ステ計算型!$N$3</f>
        <v>66</v>
      </c>
      <c r="K319" s="5">
        <v>320</v>
      </c>
      <c r="L319" s="7">
        <f t="shared" si="57"/>
        <v>27</v>
      </c>
      <c r="M319" s="7">
        <f t="shared" si="51"/>
        <v>9412</v>
      </c>
      <c r="N319" s="2">
        <v>1</v>
      </c>
      <c r="O319" s="7">
        <f t="shared" si="49"/>
        <v>0.56000000000000005</v>
      </c>
      <c r="P319" s="7">
        <f t="shared" si="58"/>
        <v>0.5</v>
      </c>
      <c r="Q319" s="2">
        <f>ステ計算型!$I$29</f>
        <v>1</v>
      </c>
      <c r="R319" s="2">
        <f>ステ計算型!$E$33</f>
        <v>0.2</v>
      </c>
      <c r="S319" s="7">
        <f t="shared" si="59"/>
        <v>6.24</v>
      </c>
      <c r="T319" s="2">
        <f>ステ計算型!$I$27</f>
        <v>1.1000000000000001</v>
      </c>
      <c r="U319" s="2">
        <f>ステ計算型!$J$29</f>
        <v>2</v>
      </c>
      <c r="V319" s="2">
        <f>ステ計算型!$F$32</f>
        <v>0.75</v>
      </c>
      <c r="W319" s="2">
        <f>ステ計算型!$G$34</f>
        <v>1</v>
      </c>
      <c r="X319" s="7">
        <f t="shared" si="55"/>
        <v>56217.876000000004</v>
      </c>
      <c r="Y319" s="7">
        <f t="shared" si="52"/>
        <v>400</v>
      </c>
      <c r="Z319" s="7">
        <f t="shared" si="53"/>
        <v>1</v>
      </c>
      <c r="AA319" s="38">
        <f>IF(L319&lt;ステ計算型!$A$20,0,1)</f>
        <v>0</v>
      </c>
      <c r="AB319" s="3">
        <f t="shared" si="54"/>
        <v>0</v>
      </c>
    </row>
    <row r="320" spans="1:28" ht="8.25" customHeight="1">
      <c r="A320" s="3">
        <f t="shared" si="50"/>
        <v>0</v>
      </c>
      <c r="B320" s="2">
        <f>ステ計算型!$B$2</f>
        <v>101</v>
      </c>
      <c r="C320" s="7">
        <f>VLOOKUP(B320,ポイント!$A$1:$D$43,4,FALSE)</f>
        <v>571</v>
      </c>
      <c r="D320" s="2">
        <f>ステ計算型!$B$4</f>
        <v>5</v>
      </c>
      <c r="E320" s="2">
        <f>ステ計算型!$B$6</f>
        <v>127</v>
      </c>
      <c r="F320" s="2">
        <f>ステ計算型!$B$8</f>
        <v>10</v>
      </c>
      <c r="G320" s="2">
        <f>ステ計算型!$B$9</f>
        <v>82</v>
      </c>
      <c r="H320" s="7">
        <f t="shared" si="56"/>
        <v>347</v>
      </c>
      <c r="I320" s="5">
        <f>ステ計算型!$K$3</f>
        <v>7390</v>
      </c>
      <c r="J320" s="5">
        <f>ステ計算型!$N$3</f>
        <v>66</v>
      </c>
      <c r="K320" s="5">
        <v>321</v>
      </c>
      <c r="L320" s="7">
        <f t="shared" si="57"/>
        <v>26</v>
      </c>
      <c r="M320" s="7">
        <f t="shared" si="51"/>
        <v>9337</v>
      </c>
      <c r="N320" s="2">
        <v>1</v>
      </c>
      <c r="O320" s="7">
        <f t="shared" si="49"/>
        <v>0.56000000000000005</v>
      </c>
      <c r="P320" s="7">
        <f t="shared" si="58"/>
        <v>0.5</v>
      </c>
      <c r="Q320" s="2">
        <f>ステ計算型!$I$29</f>
        <v>1</v>
      </c>
      <c r="R320" s="2">
        <f>ステ計算型!$E$33</f>
        <v>0.2</v>
      </c>
      <c r="S320" s="7">
        <f t="shared" si="59"/>
        <v>6.2519999999999998</v>
      </c>
      <c r="T320" s="2">
        <f>ステ計算型!$I$27</f>
        <v>1.1000000000000001</v>
      </c>
      <c r="U320" s="2">
        <f>ステ計算型!$J$29</f>
        <v>2</v>
      </c>
      <c r="V320" s="2">
        <f>ステ計算型!$F$32</f>
        <v>0.75</v>
      </c>
      <c r="W320" s="2">
        <f>ステ計算型!$G$34</f>
        <v>1</v>
      </c>
      <c r="X320" s="7">
        <f t="shared" si="55"/>
        <v>55862.337299999985</v>
      </c>
      <c r="Y320" s="7">
        <f t="shared" si="52"/>
        <v>400</v>
      </c>
      <c r="Z320" s="7">
        <f t="shared" si="53"/>
        <v>1</v>
      </c>
      <c r="AA320" s="38">
        <f>IF(L320&lt;ステ計算型!$A$20,0,1)</f>
        <v>0</v>
      </c>
      <c r="AB320" s="3">
        <f t="shared" si="54"/>
        <v>0</v>
      </c>
    </row>
    <row r="321" spans="1:28" ht="8.25" customHeight="1">
      <c r="A321" s="3">
        <f t="shared" si="50"/>
        <v>0</v>
      </c>
      <c r="B321" s="2">
        <f>ステ計算型!$B$2</f>
        <v>101</v>
      </c>
      <c r="C321" s="7">
        <f>VLOOKUP(B321,ポイント!$A$1:$D$43,4,FALSE)</f>
        <v>571</v>
      </c>
      <c r="D321" s="2">
        <f>ステ計算型!$B$4</f>
        <v>5</v>
      </c>
      <c r="E321" s="2">
        <f>ステ計算型!$B$6</f>
        <v>127</v>
      </c>
      <c r="F321" s="2">
        <f>ステ計算型!$B$8</f>
        <v>10</v>
      </c>
      <c r="G321" s="2">
        <f>ステ計算型!$B$9</f>
        <v>82</v>
      </c>
      <c r="H321" s="7">
        <f t="shared" si="56"/>
        <v>347</v>
      </c>
      <c r="I321" s="5">
        <f>ステ計算型!$K$3</f>
        <v>7390</v>
      </c>
      <c r="J321" s="5">
        <f>ステ計算型!$N$3</f>
        <v>66</v>
      </c>
      <c r="K321" s="5">
        <v>322</v>
      </c>
      <c r="L321" s="7">
        <f t="shared" si="57"/>
        <v>25</v>
      </c>
      <c r="M321" s="7">
        <f t="shared" si="51"/>
        <v>9262</v>
      </c>
      <c r="N321" s="2">
        <v>1</v>
      </c>
      <c r="O321" s="7">
        <f t="shared" si="49"/>
        <v>0.56000000000000005</v>
      </c>
      <c r="P321" s="7">
        <f t="shared" si="58"/>
        <v>0.5</v>
      </c>
      <c r="Q321" s="2">
        <f>ステ計算型!$I$29</f>
        <v>1</v>
      </c>
      <c r="R321" s="2">
        <f>ステ計算型!$E$33</f>
        <v>0.2</v>
      </c>
      <c r="S321" s="7">
        <f t="shared" si="59"/>
        <v>6.2640000000000002</v>
      </c>
      <c r="T321" s="2">
        <f>ステ計算型!$I$27</f>
        <v>1.1000000000000001</v>
      </c>
      <c r="U321" s="2">
        <f>ステ計算型!$J$29</f>
        <v>2</v>
      </c>
      <c r="V321" s="2">
        <f>ステ計算型!$F$32</f>
        <v>0.75</v>
      </c>
      <c r="W321" s="2">
        <f>ステ計算型!$G$34</f>
        <v>1</v>
      </c>
      <c r="X321" s="7">
        <f t="shared" si="55"/>
        <v>55505.313599999994</v>
      </c>
      <c r="Y321" s="7">
        <f t="shared" si="52"/>
        <v>400</v>
      </c>
      <c r="Z321" s="7">
        <f t="shared" si="53"/>
        <v>1</v>
      </c>
      <c r="AA321" s="38">
        <f>IF(L321&lt;ステ計算型!$A$20,0,1)</f>
        <v>0</v>
      </c>
      <c r="AB321" s="3">
        <f t="shared" si="54"/>
        <v>0</v>
      </c>
    </row>
    <row r="322" spans="1:28" ht="8.25" customHeight="1">
      <c r="A322" s="3">
        <f t="shared" si="50"/>
        <v>0</v>
      </c>
      <c r="B322" s="2">
        <f>ステ計算型!$B$2</f>
        <v>101</v>
      </c>
      <c r="C322" s="7">
        <f>VLOOKUP(B322,ポイント!$A$1:$D$43,4,FALSE)</f>
        <v>571</v>
      </c>
      <c r="D322" s="2">
        <f>ステ計算型!$B$4</f>
        <v>5</v>
      </c>
      <c r="E322" s="2">
        <f>ステ計算型!$B$6</f>
        <v>127</v>
      </c>
      <c r="F322" s="2">
        <f>ステ計算型!$B$8</f>
        <v>10</v>
      </c>
      <c r="G322" s="2">
        <f>ステ計算型!$B$9</f>
        <v>82</v>
      </c>
      <c r="H322" s="7">
        <f t="shared" si="56"/>
        <v>347</v>
      </c>
      <c r="I322" s="5">
        <f>ステ計算型!$K$3</f>
        <v>7390</v>
      </c>
      <c r="J322" s="5">
        <f>ステ計算型!$N$3</f>
        <v>66</v>
      </c>
      <c r="K322" s="5">
        <v>323</v>
      </c>
      <c r="L322" s="7">
        <f t="shared" si="57"/>
        <v>24</v>
      </c>
      <c r="M322" s="7">
        <f t="shared" si="51"/>
        <v>9187</v>
      </c>
      <c r="N322" s="2">
        <v>1</v>
      </c>
      <c r="O322" s="7">
        <f t="shared" si="49"/>
        <v>0.56000000000000005</v>
      </c>
      <c r="P322" s="7">
        <f t="shared" si="58"/>
        <v>0.5</v>
      </c>
      <c r="Q322" s="2">
        <f>ステ計算型!$I$29</f>
        <v>1</v>
      </c>
      <c r="R322" s="2">
        <f>ステ計算型!$E$33</f>
        <v>0.2</v>
      </c>
      <c r="S322" s="7">
        <f t="shared" si="59"/>
        <v>6.2760000000000007</v>
      </c>
      <c r="T322" s="2">
        <f>ステ計算型!$I$27</f>
        <v>1.1000000000000001</v>
      </c>
      <c r="U322" s="2">
        <f>ステ計算型!$J$29</f>
        <v>2</v>
      </c>
      <c r="V322" s="2">
        <f>ステ計算型!$F$32</f>
        <v>0.75</v>
      </c>
      <c r="W322" s="2">
        <f>ステ計算型!$G$34</f>
        <v>1</v>
      </c>
      <c r="X322" s="7">
        <f t="shared" si="55"/>
        <v>55146.804900000003</v>
      </c>
      <c r="Y322" s="7">
        <f t="shared" si="52"/>
        <v>400</v>
      </c>
      <c r="Z322" s="7">
        <f t="shared" si="53"/>
        <v>1</v>
      </c>
      <c r="AA322" s="38">
        <f>IF(L322&lt;ステ計算型!$A$20,0,1)</f>
        <v>0</v>
      </c>
      <c r="AB322" s="3">
        <f t="shared" si="54"/>
        <v>0</v>
      </c>
    </row>
    <row r="323" spans="1:28" ht="8.25" customHeight="1">
      <c r="A323" s="3">
        <f t="shared" si="50"/>
        <v>0</v>
      </c>
      <c r="B323" s="2">
        <f>ステ計算型!$B$2</f>
        <v>101</v>
      </c>
      <c r="C323" s="7">
        <f>VLOOKUP(B323,ポイント!$A$1:$D$43,4,FALSE)</f>
        <v>571</v>
      </c>
      <c r="D323" s="2">
        <f>ステ計算型!$B$4</f>
        <v>5</v>
      </c>
      <c r="E323" s="2">
        <f>ステ計算型!$B$6</f>
        <v>127</v>
      </c>
      <c r="F323" s="2">
        <f>ステ計算型!$B$8</f>
        <v>10</v>
      </c>
      <c r="G323" s="2">
        <f>ステ計算型!$B$9</f>
        <v>82</v>
      </c>
      <c r="H323" s="7">
        <f t="shared" si="56"/>
        <v>347</v>
      </c>
      <c r="I323" s="5">
        <f>ステ計算型!$K$3</f>
        <v>7390</v>
      </c>
      <c r="J323" s="5">
        <f>ステ計算型!$N$3</f>
        <v>66</v>
      </c>
      <c r="K323" s="5">
        <v>324</v>
      </c>
      <c r="L323" s="7">
        <f t="shared" si="57"/>
        <v>23</v>
      </c>
      <c r="M323" s="7">
        <f t="shared" si="51"/>
        <v>9112</v>
      </c>
      <c r="N323" s="2">
        <v>1</v>
      </c>
      <c r="O323" s="7">
        <f t="shared" ref="O323:O386" si="60">ROUNDDOWN(((J323*(K323/100+1))/5)+1,0)/100*N323</f>
        <v>0.56000000000000005</v>
      </c>
      <c r="P323" s="7">
        <f t="shared" si="58"/>
        <v>0.5</v>
      </c>
      <c r="Q323" s="2">
        <f>ステ計算型!$I$29</f>
        <v>1</v>
      </c>
      <c r="R323" s="2">
        <f>ステ計算型!$E$33</f>
        <v>0.2</v>
      </c>
      <c r="S323" s="7">
        <f t="shared" si="59"/>
        <v>6.2880000000000003</v>
      </c>
      <c r="T323" s="2">
        <f>ステ計算型!$I$27</f>
        <v>1.1000000000000001</v>
      </c>
      <c r="U323" s="2">
        <f>ステ計算型!$J$29</f>
        <v>2</v>
      </c>
      <c r="V323" s="2">
        <f>ステ計算型!$F$32</f>
        <v>0.75</v>
      </c>
      <c r="W323" s="2">
        <f>ステ計算型!$G$34</f>
        <v>1</v>
      </c>
      <c r="X323" s="7">
        <f t="shared" si="55"/>
        <v>54786.811200000011</v>
      </c>
      <c r="Y323" s="7">
        <f t="shared" si="52"/>
        <v>400</v>
      </c>
      <c r="Z323" s="7">
        <f t="shared" si="53"/>
        <v>1</v>
      </c>
      <c r="AA323" s="38">
        <f>IF(L323&lt;ステ計算型!$A$20,0,1)</f>
        <v>0</v>
      </c>
      <c r="AB323" s="3">
        <f t="shared" si="54"/>
        <v>0</v>
      </c>
    </row>
    <row r="324" spans="1:28" ht="8.25" customHeight="1">
      <c r="A324" s="3">
        <f t="shared" si="50"/>
        <v>0</v>
      </c>
      <c r="B324" s="2">
        <f>ステ計算型!$B$2</f>
        <v>101</v>
      </c>
      <c r="C324" s="7">
        <f>VLOOKUP(B324,ポイント!$A$1:$D$43,4,FALSE)</f>
        <v>571</v>
      </c>
      <c r="D324" s="2">
        <f>ステ計算型!$B$4</f>
        <v>5</v>
      </c>
      <c r="E324" s="2">
        <f>ステ計算型!$B$6</f>
        <v>127</v>
      </c>
      <c r="F324" s="2">
        <f>ステ計算型!$B$8</f>
        <v>10</v>
      </c>
      <c r="G324" s="2">
        <f>ステ計算型!$B$9</f>
        <v>82</v>
      </c>
      <c r="H324" s="7">
        <f t="shared" si="56"/>
        <v>347</v>
      </c>
      <c r="I324" s="5">
        <f>ステ計算型!$K$3</f>
        <v>7390</v>
      </c>
      <c r="J324" s="5">
        <f>ステ計算型!$N$3</f>
        <v>66</v>
      </c>
      <c r="K324" s="5">
        <v>325</v>
      </c>
      <c r="L324" s="7">
        <f t="shared" si="57"/>
        <v>22</v>
      </c>
      <c r="M324" s="7">
        <f t="shared" si="51"/>
        <v>9037</v>
      </c>
      <c r="N324" s="2">
        <v>1</v>
      </c>
      <c r="O324" s="7">
        <f t="shared" si="60"/>
        <v>0.56999999999999995</v>
      </c>
      <c r="P324" s="7">
        <f t="shared" si="58"/>
        <v>0.5</v>
      </c>
      <c r="Q324" s="2">
        <f>ステ計算型!$I$29</f>
        <v>1</v>
      </c>
      <c r="R324" s="2">
        <f>ステ計算型!$E$33</f>
        <v>0.2</v>
      </c>
      <c r="S324" s="7">
        <f t="shared" si="59"/>
        <v>6.3</v>
      </c>
      <c r="T324" s="2">
        <f>ステ計算型!$I$27</f>
        <v>1.1000000000000001</v>
      </c>
      <c r="U324" s="2">
        <f>ステ計算型!$J$29</f>
        <v>2</v>
      </c>
      <c r="V324" s="2">
        <f>ステ計算型!$F$32</f>
        <v>0.75</v>
      </c>
      <c r="W324" s="2">
        <f>ステ計算型!$G$34</f>
        <v>1</v>
      </c>
      <c r="X324" s="7">
        <f t="shared" si="55"/>
        <v>54425.332500000011</v>
      </c>
      <c r="Y324" s="7">
        <f t="shared" si="52"/>
        <v>400</v>
      </c>
      <c r="Z324" s="7">
        <f t="shared" si="53"/>
        <v>1</v>
      </c>
      <c r="AA324" s="38">
        <f>IF(L324&lt;ステ計算型!$A$20,0,1)</f>
        <v>0</v>
      </c>
      <c r="AB324" s="3">
        <f t="shared" si="54"/>
        <v>0</v>
      </c>
    </row>
    <row r="325" spans="1:28" ht="8.25" customHeight="1">
      <c r="A325" s="3">
        <f t="shared" ref="A325:A388" si="61">X325*Z325*AA325</f>
        <v>0</v>
      </c>
      <c r="B325" s="2">
        <f>ステ計算型!$B$2</f>
        <v>101</v>
      </c>
      <c r="C325" s="7">
        <f>VLOOKUP(B325,ポイント!$A$1:$D$43,4,FALSE)</f>
        <v>571</v>
      </c>
      <c r="D325" s="2">
        <f>ステ計算型!$B$4</f>
        <v>5</v>
      </c>
      <c r="E325" s="2">
        <f>ステ計算型!$B$6</f>
        <v>127</v>
      </c>
      <c r="F325" s="2">
        <f>ステ計算型!$B$8</f>
        <v>10</v>
      </c>
      <c r="G325" s="2">
        <f>ステ計算型!$B$9</f>
        <v>82</v>
      </c>
      <c r="H325" s="7">
        <f t="shared" si="56"/>
        <v>347</v>
      </c>
      <c r="I325" s="5">
        <f>ステ計算型!$K$3</f>
        <v>7390</v>
      </c>
      <c r="J325" s="5">
        <f>ステ計算型!$N$3</f>
        <v>66</v>
      </c>
      <c r="K325" s="5">
        <v>326</v>
      </c>
      <c r="L325" s="7">
        <f t="shared" si="57"/>
        <v>21</v>
      </c>
      <c r="M325" s="7">
        <f t="shared" ref="M325:M388" si="62">ROUNDDOWN(I325*(L325/100+1)+L325,0)</f>
        <v>8962</v>
      </c>
      <c r="N325" s="2">
        <v>1</v>
      </c>
      <c r="O325" s="7">
        <f t="shared" si="60"/>
        <v>0.56999999999999995</v>
      </c>
      <c r="P325" s="7">
        <f t="shared" si="58"/>
        <v>0.5</v>
      </c>
      <c r="Q325" s="2">
        <f>ステ計算型!$I$29</f>
        <v>1</v>
      </c>
      <c r="R325" s="2">
        <f>ステ計算型!$E$33</f>
        <v>0.2</v>
      </c>
      <c r="S325" s="7">
        <f t="shared" si="59"/>
        <v>6.3119999999999994</v>
      </c>
      <c r="T325" s="2">
        <f>ステ計算型!$I$27</f>
        <v>1.1000000000000001</v>
      </c>
      <c r="U325" s="2">
        <f>ステ計算型!$J$29</f>
        <v>2</v>
      </c>
      <c r="V325" s="2">
        <f>ステ計算型!$F$32</f>
        <v>0.75</v>
      </c>
      <c r="W325" s="2">
        <f>ステ計算型!$G$34</f>
        <v>1</v>
      </c>
      <c r="X325" s="7">
        <f t="shared" si="55"/>
        <v>54062.368799999997</v>
      </c>
      <c r="Y325" s="7">
        <f t="shared" ref="Y325:Y388" si="63">IF(B325&gt;99,400,350)</f>
        <v>400</v>
      </c>
      <c r="Z325" s="7">
        <f t="shared" ref="Z325:Z388" si="64">IF(L325&gt;Y325,0,1)</f>
        <v>1</v>
      </c>
      <c r="AA325" s="38">
        <f>IF(L325&lt;ステ計算型!$A$20,0,1)</f>
        <v>0</v>
      </c>
      <c r="AB325" s="3">
        <f t="shared" ref="AB325:AB388" si="65">X325*Z325*AA325</f>
        <v>0</v>
      </c>
    </row>
    <row r="326" spans="1:28" ht="8.25" customHeight="1">
      <c r="A326" s="3">
        <f t="shared" si="61"/>
        <v>0</v>
      </c>
      <c r="B326" s="2">
        <f>ステ計算型!$B$2</f>
        <v>101</v>
      </c>
      <c r="C326" s="7">
        <f>VLOOKUP(B326,ポイント!$A$1:$D$43,4,FALSE)</f>
        <v>571</v>
      </c>
      <c r="D326" s="2">
        <f>ステ計算型!$B$4</f>
        <v>5</v>
      </c>
      <c r="E326" s="2">
        <f>ステ計算型!$B$6</f>
        <v>127</v>
      </c>
      <c r="F326" s="2">
        <f>ステ計算型!$B$8</f>
        <v>10</v>
      </c>
      <c r="G326" s="2">
        <f>ステ計算型!$B$9</f>
        <v>82</v>
      </c>
      <c r="H326" s="7">
        <f t="shared" si="56"/>
        <v>347</v>
      </c>
      <c r="I326" s="5">
        <f>ステ計算型!$K$3</f>
        <v>7390</v>
      </c>
      <c r="J326" s="5">
        <f>ステ計算型!$N$3</f>
        <v>66</v>
      </c>
      <c r="K326" s="5">
        <v>327</v>
      </c>
      <c r="L326" s="7">
        <f t="shared" si="57"/>
        <v>20</v>
      </c>
      <c r="M326" s="7">
        <f t="shared" si="62"/>
        <v>8888</v>
      </c>
      <c r="N326" s="2">
        <v>1</v>
      </c>
      <c r="O326" s="7">
        <f t="shared" si="60"/>
        <v>0.56999999999999995</v>
      </c>
      <c r="P326" s="7">
        <f t="shared" si="58"/>
        <v>0.5</v>
      </c>
      <c r="Q326" s="2">
        <f>ステ計算型!$I$29</f>
        <v>1</v>
      </c>
      <c r="R326" s="2">
        <f>ステ計算型!$E$33</f>
        <v>0.2</v>
      </c>
      <c r="S326" s="7">
        <f t="shared" si="59"/>
        <v>6.323999999999999</v>
      </c>
      <c r="T326" s="2">
        <f>ステ計算型!$I$27</f>
        <v>1.1000000000000001</v>
      </c>
      <c r="U326" s="2">
        <f>ステ計算型!$J$29</f>
        <v>2</v>
      </c>
      <c r="V326" s="2">
        <f>ステ計算型!$F$32</f>
        <v>0.75</v>
      </c>
      <c r="W326" s="2">
        <f>ステ計算型!$G$34</f>
        <v>1</v>
      </c>
      <c r="X326" s="7">
        <f t="shared" si="55"/>
        <v>53703.962399999989</v>
      </c>
      <c r="Y326" s="7">
        <f t="shared" si="63"/>
        <v>400</v>
      </c>
      <c r="Z326" s="7">
        <f t="shared" si="64"/>
        <v>1</v>
      </c>
      <c r="AA326" s="38">
        <f>IF(L326&lt;ステ計算型!$A$20,0,1)</f>
        <v>0</v>
      </c>
      <c r="AB326" s="3">
        <f t="shared" si="65"/>
        <v>0</v>
      </c>
    </row>
    <row r="327" spans="1:28" ht="8.25" customHeight="1">
      <c r="A327" s="3">
        <f t="shared" si="61"/>
        <v>0</v>
      </c>
      <c r="B327" s="2">
        <f>ステ計算型!$B$2</f>
        <v>101</v>
      </c>
      <c r="C327" s="7">
        <f>VLOOKUP(B327,ポイント!$A$1:$D$43,4,FALSE)</f>
        <v>571</v>
      </c>
      <c r="D327" s="2">
        <f>ステ計算型!$B$4</f>
        <v>5</v>
      </c>
      <c r="E327" s="2">
        <f>ステ計算型!$B$6</f>
        <v>127</v>
      </c>
      <c r="F327" s="2">
        <f>ステ計算型!$B$8</f>
        <v>10</v>
      </c>
      <c r="G327" s="2">
        <f>ステ計算型!$B$9</f>
        <v>82</v>
      </c>
      <c r="H327" s="7">
        <f t="shared" si="56"/>
        <v>347</v>
      </c>
      <c r="I327" s="5">
        <f>ステ計算型!$K$3</f>
        <v>7390</v>
      </c>
      <c r="J327" s="5">
        <f>ステ計算型!$N$3</f>
        <v>66</v>
      </c>
      <c r="K327" s="5">
        <v>328</v>
      </c>
      <c r="L327" s="7">
        <f t="shared" si="57"/>
        <v>19</v>
      </c>
      <c r="M327" s="7">
        <f t="shared" si="62"/>
        <v>8813</v>
      </c>
      <c r="N327" s="2">
        <v>1</v>
      </c>
      <c r="O327" s="7">
        <f t="shared" si="60"/>
        <v>0.56999999999999995</v>
      </c>
      <c r="P327" s="7">
        <f t="shared" si="58"/>
        <v>0.5</v>
      </c>
      <c r="Q327" s="2">
        <f>ステ計算型!$I$29</f>
        <v>1</v>
      </c>
      <c r="R327" s="2">
        <f>ステ計算型!$E$33</f>
        <v>0.2</v>
      </c>
      <c r="S327" s="7">
        <f t="shared" si="59"/>
        <v>6.3359999999999994</v>
      </c>
      <c r="T327" s="2">
        <f>ステ計算型!$I$27</f>
        <v>1.1000000000000001</v>
      </c>
      <c r="U327" s="2">
        <f>ステ計算型!$J$29</f>
        <v>2</v>
      </c>
      <c r="V327" s="2">
        <f>ステ計算型!$F$32</f>
        <v>0.75</v>
      </c>
      <c r="W327" s="2">
        <f>ステ計算型!$G$34</f>
        <v>1</v>
      </c>
      <c r="X327" s="7">
        <f t="shared" si="55"/>
        <v>53338.0386</v>
      </c>
      <c r="Y327" s="7">
        <f t="shared" si="63"/>
        <v>400</v>
      </c>
      <c r="Z327" s="7">
        <f t="shared" si="64"/>
        <v>1</v>
      </c>
      <c r="AA327" s="38">
        <f>IF(L327&lt;ステ計算型!$A$20,0,1)</f>
        <v>0</v>
      </c>
      <c r="AB327" s="3">
        <f t="shared" si="65"/>
        <v>0</v>
      </c>
    </row>
    <row r="328" spans="1:28" ht="8.25" customHeight="1">
      <c r="A328" s="3">
        <f t="shared" si="61"/>
        <v>0</v>
      </c>
      <c r="B328" s="2">
        <f>ステ計算型!$B$2</f>
        <v>101</v>
      </c>
      <c r="C328" s="7">
        <f>VLOOKUP(B328,ポイント!$A$1:$D$43,4,FALSE)</f>
        <v>571</v>
      </c>
      <c r="D328" s="2">
        <f>ステ計算型!$B$4</f>
        <v>5</v>
      </c>
      <c r="E328" s="2">
        <f>ステ計算型!$B$6</f>
        <v>127</v>
      </c>
      <c r="F328" s="2">
        <f>ステ計算型!$B$8</f>
        <v>10</v>
      </c>
      <c r="G328" s="2">
        <f>ステ計算型!$B$9</f>
        <v>82</v>
      </c>
      <c r="H328" s="7">
        <f t="shared" si="56"/>
        <v>347</v>
      </c>
      <c r="I328" s="5">
        <f>ステ計算型!$K$3</f>
        <v>7390</v>
      </c>
      <c r="J328" s="5">
        <f>ステ計算型!$N$3</f>
        <v>66</v>
      </c>
      <c r="K328" s="5">
        <v>329</v>
      </c>
      <c r="L328" s="7">
        <f t="shared" si="57"/>
        <v>18</v>
      </c>
      <c r="M328" s="7">
        <f t="shared" si="62"/>
        <v>8738</v>
      </c>
      <c r="N328" s="2">
        <v>1</v>
      </c>
      <c r="O328" s="7">
        <f t="shared" si="60"/>
        <v>0.56999999999999995</v>
      </c>
      <c r="P328" s="7">
        <f t="shared" si="58"/>
        <v>0.5</v>
      </c>
      <c r="Q328" s="2">
        <f>ステ計算型!$I$29</f>
        <v>1</v>
      </c>
      <c r="R328" s="2">
        <f>ステ計算型!$E$33</f>
        <v>0.2</v>
      </c>
      <c r="S328" s="7">
        <f t="shared" si="59"/>
        <v>6.3479999999999999</v>
      </c>
      <c r="T328" s="2">
        <f>ステ計算型!$I$27</f>
        <v>1.1000000000000001</v>
      </c>
      <c r="U328" s="2">
        <f>ステ計算型!$J$29</f>
        <v>2</v>
      </c>
      <c r="V328" s="2">
        <f>ステ計算型!$F$32</f>
        <v>0.75</v>
      </c>
      <c r="W328" s="2">
        <f>ステ計算型!$G$34</f>
        <v>1</v>
      </c>
      <c r="X328" s="7">
        <f t="shared" si="55"/>
        <v>52970.629799999995</v>
      </c>
      <c r="Y328" s="7">
        <f t="shared" si="63"/>
        <v>400</v>
      </c>
      <c r="Z328" s="7">
        <f t="shared" si="64"/>
        <v>1</v>
      </c>
      <c r="AA328" s="38">
        <f>IF(L328&lt;ステ計算型!$A$20,0,1)</f>
        <v>0</v>
      </c>
      <c r="AB328" s="3">
        <f t="shared" si="65"/>
        <v>0</v>
      </c>
    </row>
    <row r="329" spans="1:28" ht="8.25" customHeight="1">
      <c r="A329" s="3">
        <f t="shared" si="61"/>
        <v>0</v>
      </c>
      <c r="B329" s="2">
        <f>ステ計算型!$B$2</f>
        <v>101</v>
      </c>
      <c r="C329" s="7">
        <f>VLOOKUP(B329,ポイント!$A$1:$D$43,4,FALSE)</f>
        <v>571</v>
      </c>
      <c r="D329" s="2">
        <f>ステ計算型!$B$4</f>
        <v>5</v>
      </c>
      <c r="E329" s="2">
        <f>ステ計算型!$B$6</f>
        <v>127</v>
      </c>
      <c r="F329" s="2">
        <f>ステ計算型!$B$8</f>
        <v>10</v>
      </c>
      <c r="G329" s="2">
        <f>ステ計算型!$B$9</f>
        <v>82</v>
      </c>
      <c r="H329" s="7">
        <f t="shared" si="56"/>
        <v>347</v>
      </c>
      <c r="I329" s="5">
        <f>ステ計算型!$K$3</f>
        <v>7390</v>
      </c>
      <c r="J329" s="5">
        <f>ステ計算型!$N$3</f>
        <v>66</v>
      </c>
      <c r="K329" s="5">
        <v>330</v>
      </c>
      <c r="L329" s="7">
        <f t="shared" si="57"/>
        <v>17</v>
      </c>
      <c r="M329" s="7">
        <f t="shared" si="62"/>
        <v>8663</v>
      </c>
      <c r="N329" s="2">
        <v>1</v>
      </c>
      <c r="O329" s="7">
        <f t="shared" si="60"/>
        <v>0.56999999999999995</v>
      </c>
      <c r="P329" s="7">
        <f t="shared" si="58"/>
        <v>0.5</v>
      </c>
      <c r="Q329" s="2">
        <f>ステ計算型!$I$29</f>
        <v>1</v>
      </c>
      <c r="R329" s="2">
        <f>ステ計算型!$E$33</f>
        <v>0.2</v>
      </c>
      <c r="S329" s="7">
        <f t="shared" si="59"/>
        <v>6.3599999999999994</v>
      </c>
      <c r="T329" s="2">
        <f>ステ計算型!$I$27</f>
        <v>1.1000000000000001</v>
      </c>
      <c r="U329" s="2">
        <f>ステ計算型!$J$29</f>
        <v>2</v>
      </c>
      <c r="V329" s="2">
        <f>ステ計算型!$F$32</f>
        <v>0.75</v>
      </c>
      <c r="W329" s="2">
        <f>ステ計算型!$G$34</f>
        <v>1</v>
      </c>
      <c r="X329" s="7">
        <f t="shared" si="55"/>
        <v>52601.736000000004</v>
      </c>
      <c r="Y329" s="7">
        <f t="shared" si="63"/>
        <v>400</v>
      </c>
      <c r="Z329" s="7">
        <f t="shared" si="64"/>
        <v>1</v>
      </c>
      <c r="AA329" s="38">
        <f>IF(L329&lt;ステ計算型!$A$20,0,1)</f>
        <v>0</v>
      </c>
      <c r="AB329" s="3">
        <f t="shared" si="65"/>
        <v>0</v>
      </c>
    </row>
    <row r="330" spans="1:28" ht="8.25" customHeight="1">
      <c r="A330" s="3">
        <f t="shared" si="61"/>
        <v>0</v>
      </c>
      <c r="B330" s="2">
        <f>ステ計算型!$B$2</f>
        <v>101</v>
      </c>
      <c r="C330" s="7">
        <f>VLOOKUP(B330,ポイント!$A$1:$D$43,4,FALSE)</f>
        <v>571</v>
      </c>
      <c r="D330" s="2">
        <f>ステ計算型!$B$4</f>
        <v>5</v>
      </c>
      <c r="E330" s="2">
        <f>ステ計算型!$B$6</f>
        <v>127</v>
      </c>
      <c r="F330" s="2">
        <f>ステ計算型!$B$8</f>
        <v>10</v>
      </c>
      <c r="G330" s="2">
        <f>ステ計算型!$B$9</f>
        <v>82</v>
      </c>
      <c r="H330" s="7">
        <f t="shared" si="56"/>
        <v>347</v>
      </c>
      <c r="I330" s="5">
        <f>ステ計算型!$K$3</f>
        <v>7390</v>
      </c>
      <c r="J330" s="5">
        <f>ステ計算型!$N$3</f>
        <v>66</v>
      </c>
      <c r="K330" s="5">
        <v>331</v>
      </c>
      <c r="L330" s="7">
        <f t="shared" si="57"/>
        <v>16</v>
      </c>
      <c r="M330" s="7">
        <f t="shared" si="62"/>
        <v>8588</v>
      </c>
      <c r="N330" s="2">
        <v>1</v>
      </c>
      <c r="O330" s="7">
        <f t="shared" si="60"/>
        <v>0.56999999999999995</v>
      </c>
      <c r="P330" s="7">
        <f t="shared" si="58"/>
        <v>0.5</v>
      </c>
      <c r="Q330" s="2">
        <f>ステ計算型!$I$29</f>
        <v>1</v>
      </c>
      <c r="R330" s="2">
        <f>ステ計算型!$E$33</f>
        <v>0.2</v>
      </c>
      <c r="S330" s="7">
        <f t="shared" si="59"/>
        <v>6.3720000000000008</v>
      </c>
      <c r="T330" s="2">
        <f>ステ計算型!$I$27</f>
        <v>1.1000000000000001</v>
      </c>
      <c r="U330" s="2">
        <f>ステ計算型!$J$29</f>
        <v>2</v>
      </c>
      <c r="V330" s="2">
        <f>ステ計算型!$F$32</f>
        <v>0.75</v>
      </c>
      <c r="W330" s="2">
        <f>ステ計算型!$G$34</f>
        <v>1</v>
      </c>
      <c r="X330" s="7">
        <f t="shared" si="55"/>
        <v>52231.357200000006</v>
      </c>
      <c r="Y330" s="7">
        <f t="shared" si="63"/>
        <v>400</v>
      </c>
      <c r="Z330" s="7">
        <f t="shared" si="64"/>
        <v>1</v>
      </c>
      <c r="AA330" s="38">
        <f>IF(L330&lt;ステ計算型!$A$20,0,1)</f>
        <v>0</v>
      </c>
      <c r="AB330" s="3">
        <f t="shared" si="65"/>
        <v>0</v>
      </c>
    </row>
    <row r="331" spans="1:28" ht="8.25" customHeight="1">
      <c r="A331" s="3">
        <f t="shared" si="61"/>
        <v>0</v>
      </c>
      <c r="B331" s="2">
        <f>ステ計算型!$B$2</f>
        <v>101</v>
      </c>
      <c r="C331" s="7">
        <f>VLOOKUP(B331,ポイント!$A$1:$D$43,4,FALSE)</f>
        <v>571</v>
      </c>
      <c r="D331" s="2">
        <f>ステ計算型!$B$4</f>
        <v>5</v>
      </c>
      <c r="E331" s="2">
        <f>ステ計算型!$B$6</f>
        <v>127</v>
      </c>
      <c r="F331" s="2">
        <f>ステ計算型!$B$8</f>
        <v>10</v>
      </c>
      <c r="G331" s="2">
        <f>ステ計算型!$B$9</f>
        <v>82</v>
      </c>
      <c r="H331" s="7">
        <f t="shared" si="56"/>
        <v>347</v>
      </c>
      <c r="I331" s="5">
        <f>ステ計算型!$K$3</f>
        <v>7390</v>
      </c>
      <c r="J331" s="5">
        <f>ステ計算型!$N$3</f>
        <v>66</v>
      </c>
      <c r="K331" s="5">
        <v>332</v>
      </c>
      <c r="L331" s="7">
        <f t="shared" si="57"/>
        <v>15</v>
      </c>
      <c r="M331" s="7">
        <f t="shared" si="62"/>
        <v>8513</v>
      </c>
      <c r="N331" s="2">
        <v>1</v>
      </c>
      <c r="O331" s="7">
        <f t="shared" si="60"/>
        <v>0.57999999999999996</v>
      </c>
      <c r="P331" s="7">
        <f t="shared" si="58"/>
        <v>0.5</v>
      </c>
      <c r="Q331" s="2">
        <f>ステ計算型!$I$29</f>
        <v>1</v>
      </c>
      <c r="R331" s="2">
        <f>ステ計算型!$E$33</f>
        <v>0.2</v>
      </c>
      <c r="S331" s="7">
        <f t="shared" si="59"/>
        <v>6.3840000000000003</v>
      </c>
      <c r="T331" s="2">
        <f>ステ計算型!$I$27</f>
        <v>1.1000000000000001</v>
      </c>
      <c r="U331" s="2">
        <f>ステ計算型!$J$29</f>
        <v>2</v>
      </c>
      <c r="V331" s="2">
        <f>ステ計算型!$F$32</f>
        <v>0.75</v>
      </c>
      <c r="W331" s="2">
        <f>ステ計算型!$G$34</f>
        <v>1</v>
      </c>
      <c r="X331" s="7">
        <f t="shared" si="55"/>
        <v>51859.493400000014</v>
      </c>
      <c r="Y331" s="7">
        <f t="shared" si="63"/>
        <v>400</v>
      </c>
      <c r="Z331" s="7">
        <f t="shared" si="64"/>
        <v>1</v>
      </c>
      <c r="AA331" s="38">
        <f>IF(L331&lt;ステ計算型!$A$20,0,1)</f>
        <v>0</v>
      </c>
      <c r="AB331" s="3">
        <f t="shared" si="65"/>
        <v>0</v>
      </c>
    </row>
    <row r="332" spans="1:28" ht="8.25" customHeight="1">
      <c r="A332" s="3">
        <f t="shared" si="61"/>
        <v>0</v>
      </c>
      <c r="B332" s="2">
        <f>ステ計算型!$B$2</f>
        <v>101</v>
      </c>
      <c r="C332" s="7">
        <f>VLOOKUP(B332,ポイント!$A$1:$D$43,4,FALSE)</f>
        <v>571</v>
      </c>
      <c r="D332" s="2">
        <f>ステ計算型!$B$4</f>
        <v>5</v>
      </c>
      <c r="E332" s="2">
        <f>ステ計算型!$B$6</f>
        <v>127</v>
      </c>
      <c r="F332" s="2">
        <f>ステ計算型!$B$8</f>
        <v>10</v>
      </c>
      <c r="G332" s="2">
        <f>ステ計算型!$B$9</f>
        <v>82</v>
      </c>
      <c r="H332" s="7">
        <f t="shared" si="56"/>
        <v>347</v>
      </c>
      <c r="I332" s="5">
        <f>ステ計算型!$K$3</f>
        <v>7390</v>
      </c>
      <c r="J332" s="5">
        <f>ステ計算型!$N$3</f>
        <v>66</v>
      </c>
      <c r="K332" s="5">
        <v>333</v>
      </c>
      <c r="L332" s="7">
        <f t="shared" si="57"/>
        <v>14</v>
      </c>
      <c r="M332" s="7">
        <f t="shared" si="62"/>
        <v>8438</v>
      </c>
      <c r="N332" s="2">
        <v>1</v>
      </c>
      <c r="O332" s="7">
        <f t="shared" si="60"/>
        <v>0.57999999999999996</v>
      </c>
      <c r="P332" s="7">
        <f t="shared" si="58"/>
        <v>0.5</v>
      </c>
      <c r="Q332" s="2">
        <f>ステ計算型!$I$29</f>
        <v>1</v>
      </c>
      <c r="R332" s="2">
        <f>ステ計算型!$E$33</f>
        <v>0.2</v>
      </c>
      <c r="S332" s="7">
        <f t="shared" si="59"/>
        <v>6.3959999999999999</v>
      </c>
      <c r="T332" s="2">
        <f>ステ計算型!$I$27</f>
        <v>1.1000000000000001</v>
      </c>
      <c r="U332" s="2">
        <f>ステ計算型!$J$29</f>
        <v>2</v>
      </c>
      <c r="V332" s="2">
        <f>ステ計算型!$F$32</f>
        <v>0.75</v>
      </c>
      <c r="W332" s="2">
        <f>ステ計算型!$G$34</f>
        <v>1</v>
      </c>
      <c r="X332" s="7">
        <f t="shared" si="55"/>
        <v>51486.1446</v>
      </c>
      <c r="Y332" s="7">
        <f t="shared" si="63"/>
        <v>400</v>
      </c>
      <c r="Z332" s="7">
        <f t="shared" si="64"/>
        <v>1</v>
      </c>
      <c r="AA332" s="38">
        <f>IF(L332&lt;ステ計算型!$A$20,0,1)</f>
        <v>0</v>
      </c>
      <c r="AB332" s="3">
        <f t="shared" si="65"/>
        <v>0</v>
      </c>
    </row>
    <row r="333" spans="1:28" ht="8.25" customHeight="1">
      <c r="A333" s="3">
        <f t="shared" si="61"/>
        <v>0</v>
      </c>
      <c r="B333" s="2">
        <f>ステ計算型!$B$2</f>
        <v>101</v>
      </c>
      <c r="C333" s="7">
        <f>VLOOKUP(B333,ポイント!$A$1:$D$43,4,FALSE)</f>
        <v>571</v>
      </c>
      <c r="D333" s="2">
        <f>ステ計算型!$B$4</f>
        <v>5</v>
      </c>
      <c r="E333" s="2">
        <f>ステ計算型!$B$6</f>
        <v>127</v>
      </c>
      <c r="F333" s="2">
        <f>ステ計算型!$B$8</f>
        <v>10</v>
      </c>
      <c r="G333" s="2">
        <f>ステ計算型!$B$9</f>
        <v>82</v>
      </c>
      <c r="H333" s="7">
        <f t="shared" si="56"/>
        <v>347</v>
      </c>
      <c r="I333" s="5">
        <f>ステ計算型!$K$3</f>
        <v>7390</v>
      </c>
      <c r="J333" s="5">
        <f>ステ計算型!$N$3</f>
        <v>66</v>
      </c>
      <c r="K333" s="5">
        <v>334</v>
      </c>
      <c r="L333" s="7">
        <f t="shared" si="57"/>
        <v>13</v>
      </c>
      <c r="M333" s="7">
        <f t="shared" si="62"/>
        <v>8363</v>
      </c>
      <c r="N333" s="2">
        <v>1</v>
      </c>
      <c r="O333" s="7">
        <f t="shared" si="60"/>
        <v>0.57999999999999996</v>
      </c>
      <c r="P333" s="7">
        <f t="shared" si="58"/>
        <v>0.5</v>
      </c>
      <c r="Q333" s="2">
        <f>ステ計算型!$I$29</f>
        <v>1</v>
      </c>
      <c r="R333" s="2">
        <f>ステ計算型!$E$33</f>
        <v>0.2</v>
      </c>
      <c r="S333" s="7">
        <f t="shared" si="59"/>
        <v>6.4079999999999995</v>
      </c>
      <c r="T333" s="2">
        <f>ステ計算型!$I$27</f>
        <v>1.1000000000000001</v>
      </c>
      <c r="U333" s="2">
        <f>ステ計算型!$J$29</f>
        <v>2</v>
      </c>
      <c r="V333" s="2">
        <f>ステ計算型!$F$32</f>
        <v>0.75</v>
      </c>
      <c r="W333" s="2">
        <f>ステ計算型!$G$34</f>
        <v>1</v>
      </c>
      <c r="X333" s="7">
        <f t="shared" si="55"/>
        <v>51111.310799999992</v>
      </c>
      <c r="Y333" s="7">
        <f t="shared" si="63"/>
        <v>400</v>
      </c>
      <c r="Z333" s="7">
        <f t="shared" si="64"/>
        <v>1</v>
      </c>
      <c r="AA333" s="38">
        <f>IF(L333&lt;ステ計算型!$A$20,0,1)</f>
        <v>0</v>
      </c>
      <c r="AB333" s="3">
        <f t="shared" si="65"/>
        <v>0</v>
      </c>
    </row>
    <row r="334" spans="1:28" ht="8.25" customHeight="1">
      <c r="A334" s="3">
        <f t="shared" si="61"/>
        <v>0</v>
      </c>
      <c r="B334" s="2">
        <f>ステ計算型!$B$2</f>
        <v>101</v>
      </c>
      <c r="C334" s="7">
        <f>VLOOKUP(B334,ポイント!$A$1:$D$43,4,FALSE)</f>
        <v>571</v>
      </c>
      <c r="D334" s="2">
        <f>ステ計算型!$B$4</f>
        <v>5</v>
      </c>
      <c r="E334" s="2">
        <f>ステ計算型!$B$6</f>
        <v>127</v>
      </c>
      <c r="F334" s="2">
        <f>ステ計算型!$B$8</f>
        <v>10</v>
      </c>
      <c r="G334" s="2">
        <f>ステ計算型!$B$9</f>
        <v>82</v>
      </c>
      <c r="H334" s="7">
        <f t="shared" si="56"/>
        <v>347</v>
      </c>
      <c r="I334" s="5">
        <f>ステ計算型!$K$3</f>
        <v>7390</v>
      </c>
      <c r="J334" s="5">
        <f>ステ計算型!$N$3</f>
        <v>66</v>
      </c>
      <c r="K334" s="5">
        <v>335</v>
      </c>
      <c r="L334" s="7">
        <f t="shared" si="57"/>
        <v>12</v>
      </c>
      <c r="M334" s="7">
        <f t="shared" si="62"/>
        <v>8288</v>
      </c>
      <c r="N334" s="2">
        <v>1</v>
      </c>
      <c r="O334" s="7">
        <f t="shared" si="60"/>
        <v>0.57999999999999996</v>
      </c>
      <c r="P334" s="7">
        <f t="shared" si="58"/>
        <v>0.5</v>
      </c>
      <c r="Q334" s="2">
        <f>ステ計算型!$I$29</f>
        <v>1</v>
      </c>
      <c r="R334" s="2">
        <f>ステ計算型!$E$33</f>
        <v>0.2</v>
      </c>
      <c r="S334" s="7">
        <f t="shared" si="59"/>
        <v>6.419999999999999</v>
      </c>
      <c r="T334" s="2">
        <f>ステ計算型!$I$27</f>
        <v>1.1000000000000001</v>
      </c>
      <c r="U334" s="2">
        <f>ステ計算型!$J$29</f>
        <v>2</v>
      </c>
      <c r="V334" s="2">
        <f>ステ計算型!$F$32</f>
        <v>0.75</v>
      </c>
      <c r="W334" s="2">
        <f>ステ計算型!$G$34</f>
        <v>1</v>
      </c>
      <c r="X334" s="7">
        <f t="shared" si="55"/>
        <v>50734.991999999991</v>
      </c>
      <c r="Y334" s="7">
        <f t="shared" si="63"/>
        <v>400</v>
      </c>
      <c r="Z334" s="7">
        <f t="shared" si="64"/>
        <v>1</v>
      </c>
      <c r="AA334" s="38">
        <f>IF(L334&lt;ステ計算型!$A$20,0,1)</f>
        <v>0</v>
      </c>
      <c r="AB334" s="3">
        <f t="shared" si="65"/>
        <v>0</v>
      </c>
    </row>
    <row r="335" spans="1:28" ht="8.25" customHeight="1">
      <c r="A335" s="3">
        <f t="shared" si="61"/>
        <v>0</v>
      </c>
      <c r="B335" s="2">
        <f>ステ計算型!$B$2</f>
        <v>101</v>
      </c>
      <c r="C335" s="7">
        <f>VLOOKUP(B335,ポイント!$A$1:$D$43,4,FALSE)</f>
        <v>571</v>
      </c>
      <c r="D335" s="2">
        <f>ステ計算型!$B$4</f>
        <v>5</v>
      </c>
      <c r="E335" s="2">
        <f>ステ計算型!$B$6</f>
        <v>127</v>
      </c>
      <c r="F335" s="2">
        <f>ステ計算型!$B$8</f>
        <v>10</v>
      </c>
      <c r="G335" s="2">
        <f>ステ計算型!$B$9</f>
        <v>82</v>
      </c>
      <c r="H335" s="7">
        <f t="shared" si="56"/>
        <v>347</v>
      </c>
      <c r="I335" s="5">
        <f>ステ計算型!$K$3</f>
        <v>7390</v>
      </c>
      <c r="J335" s="5">
        <f>ステ計算型!$N$3</f>
        <v>66</v>
      </c>
      <c r="K335" s="5">
        <v>336</v>
      </c>
      <c r="L335" s="7">
        <f t="shared" si="57"/>
        <v>11</v>
      </c>
      <c r="M335" s="7">
        <f t="shared" si="62"/>
        <v>8213</v>
      </c>
      <c r="N335" s="2">
        <v>1</v>
      </c>
      <c r="O335" s="7">
        <f t="shared" si="60"/>
        <v>0.57999999999999996</v>
      </c>
      <c r="P335" s="7">
        <f t="shared" si="58"/>
        <v>0.5</v>
      </c>
      <c r="Q335" s="2">
        <f>ステ計算型!$I$29</f>
        <v>1</v>
      </c>
      <c r="R335" s="2">
        <f>ステ計算型!$E$33</f>
        <v>0.2</v>
      </c>
      <c r="S335" s="7">
        <f t="shared" si="59"/>
        <v>6.4319999999999995</v>
      </c>
      <c r="T335" s="2">
        <f>ステ計算型!$I$27</f>
        <v>1.1000000000000001</v>
      </c>
      <c r="U335" s="2">
        <f>ステ計算型!$J$29</f>
        <v>2</v>
      </c>
      <c r="V335" s="2">
        <f>ステ計算型!$F$32</f>
        <v>0.75</v>
      </c>
      <c r="W335" s="2">
        <f>ステ計算型!$G$34</f>
        <v>1</v>
      </c>
      <c r="X335" s="7">
        <f t="shared" si="55"/>
        <v>50357.18819999999</v>
      </c>
      <c r="Y335" s="7">
        <f t="shared" si="63"/>
        <v>400</v>
      </c>
      <c r="Z335" s="7">
        <f t="shared" si="64"/>
        <v>1</v>
      </c>
      <c r="AA335" s="38">
        <f>IF(L335&lt;ステ計算型!$A$20,0,1)</f>
        <v>0</v>
      </c>
      <c r="AB335" s="3">
        <f t="shared" si="65"/>
        <v>0</v>
      </c>
    </row>
    <row r="336" spans="1:28" ht="8.25" customHeight="1">
      <c r="A336" s="3">
        <f t="shared" si="61"/>
        <v>0</v>
      </c>
      <c r="B336" s="2">
        <f>ステ計算型!$B$2</f>
        <v>101</v>
      </c>
      <c r="C336" s="7">
        <f>VLOOKUP(B336,ポイント!$A$1:$D$43,4,FALSE)</f>
        <v>571</v>
      </c>
      <c r="D336" s="2">
        <f>ステ計算型!$B$4</f>
        <v>5</v>
      </c>
      <c r="E336" s="2">
        <f>ステ計算型!$B$6</f>
        <v>127</v>
      </c>
      <c r="F336" s="2">
        <f>ステ計算型!$B$8</f>
        <v>10</v>
      </c>
      <c r="G336" s="2">
        <f>ステ計算型!$B$9</f>
        <v>82</v>
      </c>
      <c r="H336" s="7">
        <f t="shared" si="56"/>
        <v>347</v>
      </c>
      <c r="I336" s="5">
        <f>ステ計算型!$K$3</f>
        <v>7390</v>
      </c>
      <c r="J336" s="5">
        <f>ステ計算型!$N$3</f>
        <v>66</v>
      </c>
      <c r="K336" s="5">
        <v>337</v>
      </c>
      <c r="L336" s="7">
        <f t="shared" si="57"/>
        <v>10</v>
      </c>
      <c r="M336" s="7">
        <f t="shared" si="62"/>
        <v>8139</v>
      </c>
      <c r="N336" s="2">
        <v>1</v>
      </c>
      <c r="O336" s="7">
        <f t="shared" si="60"/>
        <v>0.57999999999999996</v>
      </c>
      <c r="P336" s="7">
        <f t="shared" si="58"/>
        <v>0.5</v>
      </c>
      <c r="Q336" s="2">
        <f>ステ計算型!$I$29</f>
        <v>1</v>
      </c>
      <c r="R336" s="2">
        <f>ステ計算型!$E$33</f>
        <v>0.2</v>
      </c>
      <c r="S336" s="7">
        <f t="shared" si="59"/>
        <v>6.444</v>
      </c>
      <c r="T336" s="2">
        <f>ステ計算型!$I$27</f>
        <v>1.1000000000000001</v>
      </c>
      <c r="U336" s="2">
        <f>ステ計算型!$J$29</f>
        <v>2</v>
      </c>
      <c r="V336" s="2">
        <f>ステ計算型!$F$32</f>
        <v>0.75</v>
      </c>
      <c r="W336" s="2">
        <f>ステ計算型!$G$34</f>
        <v>1</v>
      </c>
      <c r="X336" s="7">
        <f t="shared" ref="X336:X399" si="66">M336*(P336*S336+1-P336)*T336*U336*V336*W336</f>
        <v>49984.040699999998</v>
      </c>
      <c r="Y336" s="7">
        <f t="shared" si="63"/>
        <v>400</v>
      </c>
      <c r="Z336" s="7">
        <f t="shared" si="64"/>
        <v>1</v>
      </c>
      <c r="AA336" s="38">
        <f>IF(L336&lt;ステ計算型!$A$20,0,1)</f>
        <v>0</v>
      </c>
      <c r="AB336" s="3">
        <f t="shared" si="65"/>
        <v>0</v>
      </c>
    </row>
    <row r="337" spans="1:28" ht="8.25" customHeight="1">
      <c r="A337" s="3">
        <f t="shared" si="61"/>
        <v>0</v>
      </c>
      <c r="B337" s="2">
        <f>ステ計算型!$B$2</f>
        <v>101</v>
      </c>
      <c r="C337" s="7">
        <f>VLOOKUP(B337,ポイント!$A$1:$D$43,4,FALSE)</f>
        <v>571</v>
      </c>
      <c r="D337" s="2">
        <f>ステ計算型!$B$4</f>
        <v>5</v>
      </c>
      <c r="E337" s="2">
        <f>ステ計算型!$B$6</f>
        <v>127</v>
      </c>
      <c r="F337" s="2">
        <f>ステ計算型!$B$8</f>
        <v>10</v>
      </c>
      <c r="G337" s="2">
        <f>ステ計算型!$B$9</f>
        <v>82</v>
      </c>
      <c r="H337" s="7">
        <f t="shared" ref="H337:H399" si="67">C337-D337-E337-F337-G337</f>
        <v>347</v>
      </c>
      <c r="I337" s="5">
        <f>ステ計算型!$K$3</f>
        <v>7390</v>
      </c>
      <c r="J337" s="5">
        <f>ステ計算型!$N$3</f>
        <v>66</v>
      </c>
      <c r="K337" s="5">
        <v>338</v>
      </c>
      <c r="L337" s="7">
        <f t="shared" ref="L337:L399" si="68">H337-K337</f>
        <v>9</v>
      </c>
      <c r="M337" s="7">
        <f t="shared" si="62"/>
        <v>8064</v>
      </c>
      <c r="N337" s="2">
        <v>1</v>
      </c>
      <c r="O337" s="7">
        <f t="shared" si="60"/>
        <v>0.57999999999999996</v>
      </c>
      <c r="P337" s="7">
        <f t="shared" ref="P337:P399" si="69">IF(O337&gt;0.5,0.5,O337)</f>
        <v>0.5</v>
      </c>
      <c r="Q337" s="2">
        <f>ステ計算型!$I$29</f>
        <v>1</v>
      </c>
      <c r="R337" s="2">
        <f>ステ計算型!$E$33</f>
        <v>0.2</v>
      </c>
      <c r="S337" s="7">
        <f t="shared" ref="S337:S399" si="70">(K337/100+2)*Q337*(R337*2+1-R337)</f>
        <v>6.4559999999999995</v>
      </c>
      <c r="T337" s="2">
        <f>ステ計算型!$I$27</f>
        <v>1.1000000000000001</v>
      </c>
      <c r="U337" s="2">
        <f>ステ計算型!$J$29</f>
        <v>2</v>
      </c>
      <c r="V337" s="2">
        <f>ステ計算型!$F$32</f>
        <v>0.75</v>
      </c>
      <c r="W337" s="2">
        <f>ステ計算型!$G$34</f>
        <v>1</v>
      </c>
      <c r="X337" s="7">
        <f t="shared" si="66"/>
        <v>49603.276799999992</v>
      </c>
      <c r="Y337" s="7">
        <f t="shared" si="63"/>
        <v>400</v>
      </c>
      <c r="Z337" s="7">
        <f t="shared" si="64"/>
        <v>1</v>
      </c>
      <c r="AA337" s="38">
        <f>IF(L337&lt;ステ計算型!$A$20,0,1)</f>
        <v>0</v>
      </c>
      <c r="AB337" s="3">
        <f t="shared" si="65"/>
        <v>0</v>
      </c>
    </row>
    <row r="338" spans="1:28" ht="8.25" customHeight="1">
      <c r="A338" s="3">
        <f t="shared" si="61"/>
        <v>0</v>
      </c>
      <c r="B338" s="2">
        <f>ステ計算型!$B$2</f>
        <v>101</v>
      </c>
      <c r="C338" s="7">
        <f>VLOOKUP(B338,ポイント!$A$1:$D$43,4,FALSE)</f>
        <v>571</v>
      </c>
      <c r="D338" s="2">
        <f>ステ計算型!$B$4</f>
        <v>5</v>
      </c>
      <c r="E338" s="2">
        <f>ステ計算型!$B$6</f>
        <v>127</v>
      </c>
      <c r="F338" s="2">
        <f>ステ計算型!$B$8</f>
        <v>10</v>
      </c>
      <c r="G338" s="2">
        <f>ステ計算型!$B$9</f>
        <v>82</v>
      </c>
      <c r="H338" s="7">
        <f t="shared" si="67"/>
        <v>347</v>
      </c>
      <c r="I338" s="5">
        <f>ステ計算型!$K$3</f>
        <v>7390</v>
      </c>
      <c r="J338" s="5">
        <f>ステ計算型!$N$3</f>
        <v>66</v>
      </c>
      <c r="K338" s="5">
        <v>339</v>
      </c>
      <c r="L338" s="7">
        <f t="shared" si="68"/>
        <v>8</v>
      </c>
      <c r="M338" s="7">
        <f t="shared" si="62"/>
        <v>7989</v>
      </c>
      <c r="N338" s="2">
        <v>1</v>
      </c>
      <c r="O338" s="7">
        <f t="shared" si="60"/>
        <v>0.57999999999999996</v>
      </c>
      <c r="P338" s="7">
        <f t="shared" si="69"/>
        <v>0.5</v>
      </c>
      <c r="Q338" s="2">
        <f>ステ計算型!$I$29</f>
        <v>1</v>
      </c>
      <c r="R338" s="2">
        <f>ステ計算型!$E$33</f>
        <v>0.2</v>
      </c>
      <c r="S338" s="7">
        <f t="shared" si="70"/>
        <v>6.4680000000000009</v>
      </c>
      <c r="T338" s="2">
        <f>ステ計算型!$I$27</f>
        <v>1.1000000000000001</v>
      </c>
      <c r="U338" s="2">
        <f>ステ計算型!$J$29</f>
        <v>2</v>
      </c>
      <c r="V338" s="2">
        <f>ステ計算型!$F$32</f>
        <v>0.75</v>
      </c>
      <c r="W338" s="2">
        <f>ステ計算型!$G$34</f>
        <v>1</v>
      </c>
      <c r="X338" s="7">
        <f t="shared" si="66"/>
        <v>49221.027900000001</v>
      </c>
      <c r="Y338" s="7">
        <f t="shared" si="63"/>
        <v>400</v>
      </c>
      <c r="Z338" s="7">
        <f t="shared" si="64"/>
        <v>1</v>
      </c>
      <c r="AA338" s="38">
        <f>IF(L338&lt;ステ計算型!$A$20,0,1)</f>
        <v>0</v>
      </c>
      <c r="AB338" s="3">
        <f t="shared" si="65"/>
        <v>0</v>
      </c>
    </row>
    <row r="339" spans="1:28" ht="8.25" customHeight="1">
      <c r="A339" s="3">
        <f t="shared" si="61"/>
        <v>0</v>
      </c>
      <c r="B339" s="2">
        <f>ステ計算型!$B$2</f>
        <v>101</v>
      </c>
      <c r="C339" s="7">
        <f>VLOOKUP(B339,ポイント!$A$1:$D$43,4,FALSE)</f>
        <v>571</v>
      </c>
      <c r="D339" s="2">
        <f>ステ計算型!$B$4</f>
        <v>5</v>
      </c>
      <c r="E339" s="2">
        <f>ステ計算型!$B$6</f>
        <v>127</v>
      </c>
      <c r="F339" s="2">
        <f>ステ計算型!$B$8</f>
        <v>10</v>
      </c>
      <c r="G339" s="2">
        <f>ステ計算型!$B$9</f>
        <v>82</v>
      </c>
      <c r="H339" s="7">
        <f t="shared" si="67"/>
        <v>347</v>
      </c>
      <c r="I339" s="5">
        <f>ステ計算型!$K$3</f>
        <v>7390</v>
      </c>
      <c r="J339" s="5">
        <f>ステ計算型!$N$3</f>
        <v>66</v>
      </c>
      <c r="K339" s="5">
        <v>340</v>
      </c>
      <c r="L339" s="7">
        <f t="shared" si="68"/>
        <v>7</v>
      </c>
      <c r="M339" s="7">
        <f t="shared" si="62"/>
        <v>7914</v>
      </c>
      <c r="N339" s="2">
        <v>1</v>
      </c>
      <c r="O339" s="7">
        <f t="shared" si="60"/>
        <v>0.59</v>
      </c>
      <c r="P339" s="7">
        <f t="shared" si="69"/>
        <v>0.5</v>
      </c>
      <c r="Q339" s="2">
        <f>ステ計算型!$I$29</f>
        <v>1</v>
      </c>
      <c r="R339" s="2">
        <f>ステ計算型!$E$33</f>
        <v>0.2</v>
      </c>
      <c r="S339" s="7">
        <f t="shared" si="70"/>
        <v>6.48</v>
      </c>
      <c r="T339" s="2">
        <f>ステ計算型!$I$27</f>
        <v>1.1000000000000001</v>
      </c>
      <c r="U339" s="2">
        <f>ステ計算型!$J$29</f>
        <v>2</v>
      </c>
      <c r="V339" s="2">
        <f>ステ計算型!$F$32</f>
        <v>0.75</v>
      </c>
      <c r="W339" s="2">
        <f>ステ計算型!$G$34</f>
        <v>1</v>
      </c>
      <c r="X339" s="7">
        <f t="shared" si="66"/>
        <v>48837.294000000009</v>
      </c>
      <c r="Y339" s="7">
        <f t="shared" si="63"/>
        <v>400</v>
      </c>
      <c r="Z339" s="7">
        <f t="shared" si="64"/>
        <v>1</v>
      </c>
      <c r="AA339" s="38">
        <f>IF(L339&lt;ステ計算型!$A$20,0,1)</f>
        <v>0</v>
      </c>
      <c r="AB339" s="3">
        <f t="shared" si="65"/>
        <v>0</v>
      </c>
    </row>
    <row r="340" spans="1:28" ht="8.25" customHeight="1">
      <c r="A340" s="3">
        <f t="shared" si="61"/>
        <v>0</v>
      </c>
      <c r="B340" s="2">
        <f>ステ計算型!$B$2</f>
        <v>101</v>
      </c>
      <c r="C340" s="7">
        <f>VLOOKUP(B340,ポイント!$A$1:$D$43,4,FALSE)</f>
        <v>571</v>
      </c>
      <c r="D340" s="2">
        <f>ステ計算型!$B$4</f>
        <v>5</v>
      </c>
      <c r="E340" s="2">
        <f>ステ計算型!$B$6</f>
        <v>127</v>
      </c>
      <c r="F340" s="2">
        <f>ステ計算型!$B$8</f>
        <v>10</v>
      </c>
      <c r="G340" s="2">
        <f>ステ計算型!$B$9</f>
        <v>82</v>
      </c>
      <c r="H340" s="7">
        <f t="shared" si="67"/>
        <v>347</v>
      </c>
      <c r="I340" s="5">
        <f>ステ計算型!$K$3</f>
        <v>7390</v>
      </c>
      <c r="J340" s="5">
        <f>ステ計算型!$N$3</f>
        <v>66</v>
      </c>
      <c r="K340" s="5">
        <v>341</v>
      </c>
      <c r="L340" s="7">
        <f t="shared" si="68"/>
        <v>6</v>
      </c>
      <c r="M340" s="7">
        <f t="shared" si="62"/>
        <v>7839</v>
      </c>
      <c r="N340" s="2">
        <v>1</v>
      </c>
      <c r="O340" s="7">
        <f t="shared" si="60"/>
        <v>0.59</v>
      </c>
      <c r="P340" s="7">
        <f t="shared" si="69"/>
        <v>0.5</v>
      </c>
      <c r="Q340" s="2">
        <f>ステ計算型!$I$29</f>
        <v>1</v>
      </c>
      <c r="R340" s="2">
        <f>ステ計算型!$E$33</f>
        <v>0.2</v>
      </c>
      <c r="S340" s="7">
        <f t="shared" si="70"/>
        <v>6.492</v>
      </c>
      <c r="T340" s="2">
        <f>ステ計算型!$I$27</f>
        <v>1.1000000000000001</v>
      </c>
      <c r="U340" s="2">
        <f>ステ計算型!$J$29</f>
        <v>2</v>
      </c>
      <c r="V340" s="2">
        <f>ステ計算型!$F$32</f>
        <v>0.75</v>
      </c>
      <c r="W340" s="2">
        <f>ステ計算型!$G$34</f>
        <v>1</v>
      </c>
      <c r="X340" s="7">
        <f t="shared" si="66"/>
        <v>48452.075100000009</v>
      </c>
      <c r="Y340" s="7">
        <f t="shared" si="63"/>
        <v>400</v>
      </c>
      <c r="Z340" s="7">
        <f t="shared" si="64"/>
        <v>1</v>
      </c>
      <c r="AA340" s="38">
        <f>IF(L340&lt;ステ計算型!$A$20,0,1)</f>
        <v>0</v>
      </c>
      <c r="AB340" s="3">
        <f t="shared" si="65"/>
        <v>0</v>
      </c>
    </row>
    <row r="341" spans="1:28" ht="8.25" customHeight="1">
      <c r="A341" s="3">
        <f t="shared" si="61"/>
        <v>0</v>
      </c>
      <c r="B341" s="2">
        <f>ステ計算型!$B$2</f>
        <v>101</v>
      </c>
      <c r="C341" s="7">
        <f>VLOOKUP(B341,ポイント!$A$1:$D$43,4,FALSE)</f>
        <v>571</v>
      </c>
      <c r="D341" s="2">
        <f>ステ計算型!$B$4</f>
        <v>5</v>
      </c>
      <c r="E341" s="2">
        <f>ステ計算型!$B$6</f>
        <v>127</v>
      </c>
      <c r="F341" s="2">
        <f>ステ計算型!$B$8</f>
        <v>10</v>
      </c>
      <c r="G341" s="2">
        <f>ステ計算型!$B$9</f>
        <v>82</v>
      </c>
      <c r="H341" s="7">
        <f t="shared" si="67"/>
        <v>347</v>
      </c>
      <c r="I341" s="5">
        <f>ステ計算型!$K$3</f>
        <v>7390</v>
      </c>
      <c r="J341" s="5">
        <f>ステ計算型!$N$3</f>
        <v>66</v>
      </c>
      <c r="K341" s="5">
        <v>342</v>
      </c>
      <c r="L341" s="7">
        <f t="shared" si="68"/>
        <v>5</v>
      </c>
      <c r="M341" s="7">
        <f t="shared" si="62"/>
        <v>7764</v>
      </c>
      <c r="N341" s="2">
        <v>1</v>
      </c>
      <c r="O341" s="7">
        <f t="shared" si="60"/>
        <v>0.59</v>
      </c>
      <c r="P341" s="7">
        <f t="shared" si="69"/>
        <v>0.5</v>
      </c>
      <c r="Q341" s="2">
        <f>ステ計算型!$I$29</f>
        <v>1</v>
      </c>
      <c r="R341" s="2">
        <f>ステ計算型!$E$33</f>
        <v>0.2</v>
      </c>
      <c r="S341" s="7">
        <f t="shared" si="70"/>
        <v>6.5039999999999996</v>
      </c>
      <c r="T341" s="2">
        <f>ステ計算型!$I$27</f>
        <v>1.1000000000000001</v>
      </c>
      <c r="U341" s="2">
        <f>ステ計算型!$J$29</f>
        <v>2</v>
      </c>
      <c r="V341" s="2">
        <f>ステ計算型!$F$32</f>
        <v>0.75</v>
      </c>
      <c r="W341" s="2">
        <f>ステ計算型!$G$34</f>
        <v>1</v>
      </c>
      <c r="X341" s="7">
        <f t="shared" si="66"/>
        <v>48065.371200000001</v>
      </c>
      <c r="Y341" s="7">
        <f t="shared" si="63"/>
        <v>400</v>
      </c>
      <c r="Z341" s="7">
        <f t="shared" si="64"/>
        <v>1</v>
      </c>
      <c r="AA341" s="38">
        <f>IF(L341&lt;ステ計算型!$A$20,0,1)</f>
        <v>0</v>
      </c>
      <c r="AB341" s="3">
        <f t="shared" si="65"/>
        <v>0</v>
      </c>
    </row>
    <row r="342" spans="1:28" ht="8.25" customHeight="1">
      <c r="A342" s="3">
        <f t="shared" si="61"/>
        <v>0</v>
      </c>
      <c r="B342" s="2">
        <f>ステ計算型!$B$2</f>
        <v>101</v>
      </c>
      <c r="C342" s="7">
        <f>VLOOKUP(B342,ポイント!$A$1:$D$43,4,FALSE)</f>
        <v>571</v>
      </c>
      <c r="D342" s="2">
        <f>ステ計算型!$B$4</f>
        <v>5</v>
      </c>
      <c r="E342" s="2">
        <f>ステ計算型!$B$6</f>
        <v>127</v>
      </c>
      <c r="F342" s="2">
        <f>ステ計算型!$B$8</f>
        <v>10</v>
      </c>
      <c r="G342" s="2">
        <f>ステ計算型!$B$9</f>
        <v>82</v>
      </c>
      <c r="H342" s="7">
        <f t="shared" si="67"/>
        <v>347</v>
      </c>
      <c r="I342" s="5">
        <f>ステ計算型!$K$3</f>
        <v>7390</v>
      </c>
      <c r="J342" s="5">
        <f>ステ計算型!$N$3</f>
        <v>66</v>
      </c>
      <c r="K342" s="5">
        <v>343</v>
      </c>
      <c r="L342" s="7">
        <f t="shared" si="68"/>
        <v>4</v>
      </c>
      <c r="M342" s="7">
        <f t="shared" si="62"/>
        <v>7689</v>
      </c>
      <c r="N342" s="2">
        <v>1</v>
      </c>
      <c r="O342" s="7">
        <f t="shared" si="60"/>
        <v>0.59</v>
      </c>
      <c r="P342" s="7">
        <f t="shared" si="69"/>
        <v>0.5</v>
      </c>
      <c r="Q342" s="2">
        <f>ステ計算型!$I$29</f>
        <v>1</v>
      </c>
      <c r="R342" s="2">
        <f>ステ計算型!$E$33</f>
        <v>0.2</v>
      </c>
      <c r="S342" s="7">
        <f t="shared" si="70"/>
        <v>6.5159999999999991</v>
      </c>
      <c r="T342" s="2">
        <f>ステ計算型!$I$27</f>
        <v>1.1000000000000001</v>
      </c>
      <c r="U342" s="2">
        <f>ステ計算型!$J$29</f>
        <v>2</v>
      </c>
      <c r="V342" s="2">
        <f>ステ計算型!$F$32</f>
        <v>0.75</v>
      </c>
      <c r="W342" s="2">
        <f>ステ計算型!$G$34</f>
        <v>1</v>
      </c>
      <c r="X342" s="7">
        <f t="shared" si="66"/>
        <v>47677.182299999986</v>
      </c>
      <c r="Y342" s="7">
        <f t="shared" si="63"/>
        <v>400</v>
      </c>
      <c r="Z342" s="7">
        <f t="shared" si="64"/>
        <v>1</v>
      </c>
      <c r="AA342" s="38">
        <f>IF(L342&lt;ステ計算型!$A$20,0,1)</f>
        <v>0</v>
      </c>
      <c r="AB342" s="3">
        <f t="shared" si="65"/>
        <v>0</v>
      </c>
    </row>
    <row r="343" spans="1:28" ht="8.25" customHeight="1">
      <c r="A343" s="3">
        <f t="shared" si="61"/>
        <v>0</v>
      </c>
      <c r="B343" s="2">
        <f>ステ計算型!$B$2</f>
        <v>101</v>
      </c>
      <c r="C343" s="7">
        <f>VLOOKUP(B343,ポイント!$A$1:$D$43,4,FALSE)</f>
        <v>571</v>
      </c>
      <c r="D343" s="2">
        <f>ステ計算型!$B$4</f>
        <v>5</v>
      </c>
      <c r="E343" s="2">
        <f>ステ計算型!$B$6</f>
        <v>127</v>
      </c>
      <c r="F343" s="2">
        <f>ステ計算型!$B$8</f>
        <v>10</v>
      </c>
      <c r="G343" s="2">
        <f>ステ計算型!$B$9</f>
        <v>82</v>
      </c>
      <c r="H343" s="7">
        <f t="shared" si="67"/>
        <v>347</v>
      </c>
      <c r="I343" s="5">
        <f>ステ計算型!$K$3</f>
        <v>7390</v>
      </c>
      <c r="J343" s="5">
        <f>ステ計算型!$N$3</f>
        <v>66</v>
      </c>
      <c r="K343" s="5">
        <v>344</v>
      </c>
      <c r="L343" s="7">
        <f t="shared" si="68"/>
        <v>3</v>
      </c>
      <c r="M343" s="7">
        <f t="shared" si="62"/>
        <v>7614</v>
      </c>
      <c r="N343" s="2">
        <v>1</v>
      </c>
      <c r="O343" s="7">
        <f t="shared" si="60"/>
        <v>0.59</v>
      </c>
      <c r="P343" s="7">
        <f t="shared" si="69"/>
        <v>0.5</v>
      </c>
      <c r="Q343" s="2">
        <f>ステ計算型!$I$29</f>
        <v>1</v>
      </c>
      <c r="R343" s="2">
        <f>ステ計算型!$E$33</f>
        <v>0.2</v>
      </c>
      <c r="S343" s="7">
        <f t="shared" si="70"/>
        <v>6.5279999999999996</v>
      </c>
      <c r="T343" s="2">
        <f>ステ計算型!$I$27</f>
        <v>1.1000000000000001</v>
      </c>
      <c r="U343" s="2">
        <f>ステ計算型!$J$29</f>
        <v>2</v>
      </c>
      <c r="V343" s="2">
        <f>ステ計算型!$F$32</f>
        <v>0.75</v>
      </c>
      <c r="W343" s="2">
        <f>ステ計算型!$G$34</f>
        <v>1</v>
      </c>
      <c r="X343" s="7">
        <f t="shared" si="66"/>
        <v>47287.508399999992</v>
      </c>
      <c r="Y343" s="7">
        <f t="shared" si="63"/>
        <v>400</v>
      </c>
      <c r="Z343" s="7">
        <f t="shared" si="64"/>
        <v>1</v>
      </c>
      <c r="AA343" s="38">
        <f>IF(L343&lt;ステ計算型!$A$20,0,1)</f>
        <v>0</v>
      </c>
      <c r="AB343" s="3">
        <f t="shared" si="65"/>
        <v>0</v>
      </c>
    </row>
    <row r="344" spans="1:28" ht="8.25" customHeight="1">
      <c r="A344" s="3">
        <f t="shared" si="61"/>
        <v>0</v>
      </c>
      <c r="B344" s="2">
        <f>ステ計算型!$B$2</f>
        <v>101</v>
      </c>
      <c r="C344" s="7">
        <f>VLOOKUP(B344,ポイント!$A$1:$D$43,4,FALSE)</f>
        <v>571</v>
      </c>
      <c r="D344" s="2">
        <f>ステ計算型!$B$4</f>
        <v>5</v>
      </c>
      <c r="E344" s="2">
        <f>ステ計算型!$B$6</f>
        <v>127</v>
      </c>
      <c r="F344" s="2">
        <f>ステ計算型!$B$8</f>
        <v>10</v>
      </c>
      <c r="G344" s="2">
        <f>ステ計算型!$B$9</f>
        <v>82</v>
      </c>
      <c r="H344" s="7">
        <f t="shared" si="67"/>
        <v>347</v>
      </c>
      <c r="I344" s="5">
        <f>ステ計算型!$K$3</f>
        <v>7390</v>
      </c>
      <c r="J344" s="5">
        <f>ステ計算型!$N$3</f>
        <v>66</v>
      </c>
      <c r="K344" s="5">
        <v>345</v>
      </c>
      <c r="L344" s="7">
        <f t="shared" si="68"/>
        <v>2</v>
      </c>
      <c r="M344" s="7">
        <f t="shared" si="62"/>
        <v>7539</v>
      </c>
      <c r="N344" s="2">
        <v>1</v>
      </c>
      <c r="O344" s="7">
        <f t="shared" si="60"/>
        <v>0.59</v>
      </c>
      <c r="P344" s="7">
        <f t="shared" si="69"/>
        <v>0.5</v>
      </c>
      <c r="Q344" s="2">
        <f>ステ計算型!$I$29</f>
        <v>1</v>
      </c>
      <c r="R344" s="2">
        <f>ステ計算型!$E$33</f>
        <v>0.2</v>
      </c>
      <c r="S344" s="7">
        <f t="shared" si="70"/>
        <v>6.54</v>
      </c>
      <c r="T344" s="2">
        <f>ステ計算型!$I$27</f>
        <v>1.1000000000000001</v>
      </c>
      <c r="U344" s="2">
        <f>ステ計算型!$J$29</f>
        <v>2</v>
      </c>
      <c r="V344" s="2">
        <f>ステ計算型!$F$32</f>
        <v>0.75</v>
      </c>
      <c r="W344" s="2">
        <f>ステ計算型!$G$34</f>
        <v>1</v>
      </c>
      <c r="X344" s="7">
        <f t="shared" si="66"/>
        <v>46896.349499999997</v>
      </c>
      <c r="Y344" s="7">
        <f t="shared" si="63"/>
        <v>400</v>
      </c>
      <c r="Z344" s="7">
        <f t="shared" si="64"/>
        <v>1</v>
      </c>
      <c r="AA344" s="38">
        <f>IF(L344&lt;ステ計算型!$A$20,0,1)</f>
        <v>0</v>
      </c>
      <c r="AB344" s="3">
        <f t="shared" si="65"/>
        <v>0</v>
      </c>
    </row>
    <row r="345" spans="1:28" ht="8.25" customHeight="1">
      <c r="A345" s="3">
        <f t="shared" si="61"/>
        <v>0</v>
      </c>
      <c r="B345" s="2">
        <f>ステ計算型!$B$2</f>
        <v>101</v>
      </c>
      <c r="C345" s="7">
        <f>VLOOKUP(B345,ポイント!$A$1:$D$43,4,FALSE)</f>
        <v>571</v>
      </c>
      <c r="D345" s="2">
        <f>ステ計算型!$B$4</f>
        <v>5</v>
      </c>
      <c r="E345" s="2">
        <f>ステ計算型!$B$6</f>
        <v>127</v>
      </c>
      <c r="F345" s="2">
        <f>ステ計算型!$B$8</f>
        <v>10</v>
      </c>
      <c r="G345" s="2">
        <f>ステ計算型!$B$9</f>
        <v>82</v>
      </c>
      <c r="H345" s="7">
        <f t="shared" si="67"/>
        <v>347</v>
      </c>
      <c r="I345" s="5">
        <f>ステ計算型!$K$3</f>
        <v>7390</v>
      </c>
      <c r="J345" s="5">
        <f>ステ計算型!$N$3</f>
        <v>66</v>
      </c>
      <c r="K345" s="5">
        <v>346</v>
      </c>
      <c r="L345" s="7">
        <f t="shared" si="68"/>
        <v>1</v>
      </c>
      <c r="M345" s="7">
        <f t="shared" si="62"/>
        <v>7464</v>
      </c>
      <c r="N345" s="2">
        <v>1</v>
      </c>
      <c r="O345" s="7">
        <f t="shared" si="60"/>
        <v>0.59</v>
      </c>
      <c r="P345" s="7">
        <f t="shared" si="69"/>
        <v>0.5</v>
      </c>
      <c r="Q345" s="2">
        <f>ステ計算型!$I$29</f>
        <v>1</v>
      </c>
      <c r="R345" s="2">
        <f>ステ計算型!$E$33</f>
        <v>0.2</v>
      </c>
      <c r="S345" s="7">
        <f t="shared" si="70"/>
        <v>6.5519999999999996</v>
      </c>
      <c r="T345" s="2">
        <f>ステ計算型!$I$27</f>
        <v>1.1000000000000001</v>
      </c>
      <c r="U345" s="2">
        <f>ステ計算型!$J$29</f>
        <v>2</v>
      </c>
      <c r="V345" s="2">
        <f>ステ計算型!$F$32</f>
        <v>0.75</v>
      </c>
      <c r="W345" s="2">
        <f>ステ計算型!$G$34</f>
        <v>1</v>
      </c>
      <c r="X345" s="7">
        <f t="shared" si="66"/>
        <v>46503.705600000001</v>
      </c>
      <c r="Y345" s="7">
        <f t="shared" si="63"/>
        <v>400</v>
      </c>
      <c r="Z345" s="7">
        <f t="shared" si="64"/>
        <v>1</v>
      </c>
      <c r="AA345" s="38">
        <f>IF(L345&lt;ステ計算型!$A$20,0,1)</f>
        <v>0</v>
      </c>
      <c r="AB345" s="3">
        <f t="shared" si="65"/>
        <v>0</v>
      </c>
    </row>
    <row r="346" spans="1:28" ht="8.25" customHeight="1">
      <c r="A346" s="3">
        <f t="shared" si="61"/>
        <v>0</v>
      </c>
      <c r="B346" s="2">
        <f>ステ計算型!$B$2</f>
        <v>101</v>
      </c>
      <c r="C346" s="7">
        <f>VLOOKUP(B346,ポイント!$A$1:$D$43,4,FALSE)</f>
        <v>571</v>
      </c>
      <c r="D346" s="2">
        <f>ステ計算型!$B$4</f>
        <v>5</v>
      </c>
      <c r="E346" s="2">
        <f>ステ計算型!$B$6</f>
        <v>127</v>
      </c>
      <c r="F346" s="2">
        <f>ステ計算型!$B$8</f>
        <v>10</v>
      </c>
      <c r="G346" s="2">
        <f>ステ計算型!$B$9</f>
        <v>82</v>
      </c>
      <c r="H346" s="7">
        <f t="shared" si="67"/>
        <v>347</v>
      </c>
      <c r="I346" s="5">
        <f>ステ計算型!$K$3</f>
        <v>7390</v>
      </c>
      <c r="J346" s="5">
        <f>ステ計算型!$N$3</f>
        <v>66</v>
      </c>
      <c r="K346" s="5">
        <v>347</v>
      </c>
      <c r="L346" s="7">
        <f t="shared" si="68"/>
        <v>0</v>
      </c>
      <c r="M346" s="7">
        <f t="shared" si="62"/>
        <v>7390</v>
      </c>
      <c r="N346" s="2">
        <v>1</v>
      </c>
      <c r="O346" s="7">
        <f t="shared" si="60"/>
        <v>0.6</v>
      </c>
      <c r="P346" s="7">
        <f t="shared" si="69"/>
        <v>0.5</v>
      </c>
      <c r="Q346" s="2">
        <f>ステ計算型!$I$29</f>
        <v>1</v>
      </c>
      <c r="R346" s="2">
        <f>ステ計算型!$E$33</f>
        <v>0.2</v>
      </c>
      <c r="S346" s="7">
        <f t="shared" si="70"/>
        <v>6.5640000000000009</v>
      </c>
      <c r="T346" s="2">
        <f>ステ計算型!$I$27</f>
        <v>1.1000000000000001</v>
      </c>
      <c r="U346" s="2">
        <f>ステ計算型!$J$29</f>
        <v>2</v>
      </c>
      <c r="V346" s="2">
        <f>ステ計算型!$F$32</f>
        <v>0.75</v>
      </c>
      <c r="W346" s="2">
        <f>ステ計算型!$G$34</f>
        <v>1</v>
      </c>
      <c r="X346" s="7">
        <f t="shared" si="66"/>
        <v>46115.817000000003</v>
      </c>
      <c r="Y346" s="7">
        <f t="shared" si="63"/>
        <v>400</v>
      </c>
      <c r="Z346" s="7">
        <f t="shared" si="64"/>
        <v>1</v>
      </c>
      <c r="AA346" s="38">
        <f>IF(L346&lt;ステ計算型!$A$20,0,1)</f>
        <v>0</v>
      </c>
      <c r="AB346" s="3">
        <f t="shared" si="65"/>
        <v>0</v>
      </c>
    </row>
    <row r="347" spans="1:28" ht="8.25" customHeight="1">
      <c r="A347" s="3">
        <f t="shared" si="61"/>
        <v>0</v>
      </c>
      <c r="B347" s="2">
        <f>ステ計算型!$B$2</f>
        <v>101</v>
      </c>
      <c r="C347" s="7">
        <f>VLOOKUP(B347,ポイント!$A$1:$D$43,4,FALSE)</f>
        <v>571</v>
      </c>
      <c r="D347" s="2">
        <f>ステ計算型!$B$4</f>
        <v>5</v>
      </c>
      <c r="E347" s="2">
        <f>ステ計算型!$B$6</f>
        <v>127</v>
      </c>
      <c r="F347" s="2">
        <f>ステ計算型!$B$8</f>
        <v>10</v>
      </c>
      <c r="G347" s="2">
        <f>ステ計算型!$B$9</f>
        <v>82</v>
      </c>
      <c r="H347" s="7">
        <f t="shared" si="67"/>
        <v>347</v>
      </c>
      <c r="I347" s="5">
        <f>ステ計算型!$K$3</f>
        <v>7390</v>
      </c>
      <c r="J347" s="5">
        <f>ステ計算型!$N$3</f>
        <v>66</v>
      </c>
      <c r="K347" s="5">
        <v>348</v>
      </c>
      <c r="L347" s="7">
        <f t="shared" si="68"/>
        <v>-1</v>
      </c>
      <c r="M347" s="7">
        <f t="shared" si="62"/>
        <v>7315</v>
      </c>
      <c r="N347" s="2">
        <v>1</v>
      </c>
      <c r="O347" s="7">
        <f t="shared" si="60"/>
        <v>0.6</v>
      </c>
      <c r="P347" s="7">
        <f t="shared" si="69"/>
        <v>0.5</v>
      </c>
      <c r="Q347" s="2">
        <f>ステ計算型!$I$29</f>
        <v>1</v>
      </c>
      <c r="R347" s="2">
        <f>ステ計算型!$E$33</f>
        <v>0.2</v>
      </c>
      <c r="S347" s="7">
        <f t="shared" si="70"/>
        <v>6.5760000000000005</v>
      </c>
      <c r="T347" s="2">
        <f>ステ計算型!$I$27</f>
        <v>1.1000000000000001</v>
      </c>
      <c r="U347" s="2">
        <f>ステ計算型!$J$29</f>
        <v>2</v>
      </c>
      <c r="V347" s="2">
        <f>ステ計算型!$F$32</f>
        <v>0.75</v>
      </c>
      <c r="W347" s="2">
        <f>ステ計算型!$G$34</f>
        <v>1</v>
      </c>
      <c r="X347" s="7">
        <f t="shared" si="66"/>
        <v>45720.213000000003</v>
      </c>
      <c r="Y347" s="7">
        <f t="shared" si="63"/>
        <v>400</v>
      </c>
      <c r="Z347" s="7">
        <f t="shared" si="64"/>
        <v>1</v>
      </c>
      <c r="AA347" s="38">
        <f>IF(L347&lt;ステ計算型!$A$20,0,1)</f>
        <v>0</v>
      </c>
      <c r="AB347" s="3">
        <f t="shared" si="65"/>
        <v>0</v>
      </c>
    </row>
    <row r="348" spans="1:28" ht="8.25" customHeight="1">
      <c r="A348" s="3">
        <f t="shared" si="61"/>
        <v>0</v>
      </c>
      <c r="B348" s="2">
        <f>ステ計算型!$B$2</f>
        <v>101</v>
      </c>
      <c r="C348" s="7">
        <f>VLOOKUP(B348,ポイント!$A$1:$D$43,4,FALSE)</f>
        <v>571</v>
      </c>
      <c r="D348" s="2">
        <f>ステ計算型!$B$4</f>
        <v>5</v>
      </c>
      <c r="E348" s="2">
        <f>ステ計算型!$B$6</f>
        <v>127</v>
      </c>
      <c r="F348" s="2">
        <f>ステ計算型!$B$8</f>
        <v>10</v>
      </c>
      <c r="G348" s="2">
        <f>ステ計算型!$B$9</f>
        <v>82</v>
      </c>
      <c r="H348" s="7">
        <f t="shared" si="67"/>
        <v>347</v>
      </c>
      <c r="I348" s="5">
        <f>ステ計算型!$K$3</f>
        <v>7390</v>
      </c>
      <c r="J348" s="5">
        <f>ステ計算型!$N$3</f>
        <v>66</v>
      </c>
      <c r="K348" s="5">
        <v>349</v>
      </c>
      <c r="L348" s="7">
        <f t="shared" si="68"/>
        <v>-2</v>
      </c>
      <c r="M348" s="7">
        <f t="shared" si="62"/>
        <v>7240</v>
      </c>
      <c r="N348" s="2">
        <v>1</v>
      </c>
      <c r="O348" s="7">
        <f t="shared" si="60"/>
        <v>0.6</v>
      </c>
      <c r="P348" s="7">
        <f t="shared" si="69"/>
        <v>0.5</v>
      </c>
      <c r="Q348" s="2">
        <f>ステ計算型!$I$29</f>
        <v>1</v>
      </c>
      <c r="R348" s="2">
        <f>ステ計算型!$E$33</f>
        <v>0.2</v>
      </c>
      <c r="S348" s="7">
        <f t="shared" si="70"/>
        <v>6.5880000000000001</v>
      </c>
      <c r="T348" s="2">
        <f>ステ計算型!$I$27</f>
        <v>1.1000000000000001</v>
      </c>
      <c r="U348" s="2">
        <f>ステ計算型!$J$29</f>
        <v>2</v>
      </c>
      <c r="V348" s="2">
        <f>ステ計算型!$F$32</f>
        <v>0.75</v>
      </c>
      <c r="W348" s="2">
        <f>ステ計算型!$G$34</f>
        <v>1</v>
      </c>
      <c r="X348" s="7">
        <f t="shared" si="66"/>
        <v>45323.124000000011</v>
      </c>
      <c r="Y348" s="7">
        <f t="shared" si="63"/>
        <v>400</v>
      </c>
      <c r="Z348" s="7">
        <f t="shared" si="64"/>
        <v>1</v>
      </c>
      <c r="AA348" s="38">
        <f>IF(L348&lt;ステ計算型!$A$20,0,1)</f>
        <v>0</v>
      </c>
      <c r="AB348" s="3">
        <f t="shared" si="65"/>
        <v>0</v>
      </c>
    </row>
    <row r="349" spans="1:28" ht="8.25" customHeight="1">
      <c r="A349" s="3">
        <f t="shared" si="61"/>
        <v>0</v>
      </c>
      <c r="B349" s="2">
        <f>ステ計算型!$B$2</f>
        <v>101</v>
      </c>
      <c r="C349" s="7">
        <f>VLOOKUP(B349,ポイント!$A$1:$D$43,4,FALSE)</f>
        <v>571</v>
      </c>
      <c r="D349" s="2">
        <f>ステ計算型!$B$4</f>
        <v>5</v>
      </c>
      <c r="E349" s="2">
        <f>ステ計算型!$B$6</f>
        <v>127</v>
      </c>
      <c r="F349" s="2">
        <f>ステ計算型!$B$8</f>
        <v>10</v>
      </c>
      <c r="G349" s="2">
        <f>ステ計算型!$B$9</f>
        <v>82</v>
      </c>
      <c r="H349" s="7">
        <f t="shared" si="67"/>
        <v>347</v>
      </c>
      <c r="I349" s="5">
        <f>ステ計算型!$K$3</f>
        <v>7390</v>
      </c>
      <c r="J349" s="5">
        <f>ステ計算型!$N$3</f>
        <v>66</v>
      </c>
      <c r="K349" s="5">
        <v>350</v>
      </c>
      <c r="L349" s="7">
        <f t="shared" si="68"/>
        <v>-3</v>
      </c>
      <c r="M349" s="7">
        <f t="shared" si="62"/>
        <v>7165</v>
      </c>
      <c r="N349" s="2">
        <v>1</v>
      </c>
      <c r="O349" s="7">
        <f t="shared" si="60"/>
        <v>0.6</v>
      </c>
      <c r="P349" s="7">
        <f t="shared" si="69"/>
        <v>0.5</v>
      </c>
      <c r="Q349" s="2">
        <f>ステ計算型!$I$29</f>
        <v>1</v>
      </c>
      <c r="R349" s="2">
        <f>ステ計算型!$E$33</f>
        <v>0.2</v>
      </c>
      <c r="S349" s="7">
        <f t="shared" si="70"/>
        <v>6.6</v>
      </c>
      <c r="T349" s="2">
        <f>ステ計算型!$I$27</f>
        <v>1.1000000000000001</v>
      </c>
      <c r="U349" s="2">
        <f>ステ計算型!$J$29</f>
        <v>2</v>
      </c>
      <c r="V349" s="2">
        <f>ステ計算型!$F$32</f>
        <v>0.75</v>
      </c>
      <c r="W349" s="2">
        <f>ステ計算型!$G$34</f>
        <v>1</v>
      </c>
      <c r="X349" s="7">
        <f t="shared" si="66"/>
        <v>44924.55</v>
      </c>
      <c r="Y349" s="7">
        <f t="shared" si="63"/>
        <v>400</v>
      </c>
      <c r="Z349" s="7">
        <f t="shared" si="64"/>
        <v>1</v>
      </c>
      <c r="AA349" s="38">
        <f>IF(L349&lt;ステ計算型!$A$20,0,1)</f>
        <v>0</v>
      </c>
      <c r="AB349" s="3">
        <f t="shared" si="65"/>
        <v>0</v>
      </c>
    </row>
    <row r="350" spans="1:28" ht="8.25" customHeight="1">
      <c r="A350" s="3">
        <f t="shared" si="61"/>
        <v>0</v>
      </c>
      <c r="B350" s="2">
        <f>ステ計算型!$B$2</f>
        <v>101</v>
      </c>
      <c r="C350" s="7">
        <f>VLOOKUP(B350,ポイント!$A$1:$D$43,4,FALSE)</f>
        <v>571</v>
      </c>
      <c r="D350" s="2">
        <f>ステ計算型!$B$4</f>
        <v>5</v>
      </c>
      <c r="E350" s="2">
        <f>ステ計算型!$B$6</f>
        <v>127</v>
      </c>
      <c r="F350" s="2">
        <f>ステ計算型!$B$8</f>
        <v>10</v>
      </c>
      <c r="G350" s="2">
        <f>ステ計算型!$B$9</f>
        <v>82</v>
      </c>
      <c r="H350" s="7">
        <f t="shared" si="67"/>
        <v>347</v>
      </c>
      <c r="I350" s="5">
        <f>ステ計算型!$K$3</f>
        <v>7390</v>
      </c>
      <c r="J350" s="5">
        <f>ステ計算型!$N$3</f>
        <v>66</v>
      </c>
      <c r="K350" s="5">
        <v>351</v>
      </c>
      <c r="L350" s="7">
        <f t="shared" si="68"/>
        <v>-4</v>
      </c>
      <c r="M350" s="7">
        <f t="shared" si="62"/>
        <v>7090</v>
      </c>
      <c r="N350" s="2">
        <v>1</v>
      </c>
      <c r="O350" s="7">
        <f t="shared" si="60"/>
        <v>0.6</v>
      </c>
      <c r="P350" s="7">
        <f t="shared" si="69"/>
        <v>0.5</v>
      </c>
      <c r="Q350" s="2">
        <f>ステ計算型!$I$29</f>
        <v>1</v>
      </c>
      <c r="R350" s="2">
        <f>ステ計算型!$E$33</f>
        <v>0.2</v>
      </c>
      <c r="S350" s="7">
        <f t="shared" si="70"/>
        <v>6.6119999999999992</v>
      </c>
      <c r="T350" s="2">
        <f>ステ計算型!$I$27</f>
        <v>1.1000000000000001</v>
      </c>
      <c r="U350" s="2">
        <f>ステ計算型!$J$29</f>
        <v>2</v>
      </c>
      <c r="V350" s="2">
        <f>ステ計算型!$F$32</f>
        <v>0.75</v>
      </c>
      <c r="W350" s="2">
        <f>ステ計算型!$G$34</f>
        <v>1</v>
      </c>
      <c r="X350" s="7">
        <f t="shared" si="66"/>
        <v>44524.490999999995</v>
      </c>
      <c r="Y350" s="7">
        <f t="shared" si="63"/>
        <v>400</v>
      </c>
      <c r="Z350" s="7">
        <f t="shared" si="64"/>
        <v>1</v>
      </c>
      <c r="AA350" s="38">
        <f>IF(L350&lt;ステ計算型!$A$20,0,1)</f>
        <v>0</v>
      </c>
      <c r="AB350" s="3">
        <f t="shared" si="65"/>
        <v>0</v>
      </c>
    </row>
    <row r="351" spans="1:28" ht="8.25" customHeight="1">
      <c r="A351" s="3">
        <f t="shared" si="61"/>
        <v>0</v>
      </c>
      <c r="B351" s="2">
        <f>ステ計算型!$B$2</f>
        <v>101</v>
      </c>
      <c r="C351" s="7">
        <f>VLOOKUP(B351,ポイント!$A$1:$D$43,4,FALSE)</f>
        <v>571</v>
      </c>
      <c r="D351" s="2">
        <f>ステ計算型!$B$4</f>
        <v>5</v>
      </c>
      <c r="E351" s="2">
        <f>ステ計算型!$B$6</f>
        <v>127</v>
      </c>
      <c r="F351" s="2">
        <f>ステ計算型!$B$8</f>
        <v>10</v>
      </c>
      <c r="G351" s="2">
        <f>ステ計算型!$B$9</f>
        <v>82</v>
      </c>
      <c r="H351" s="7">
        <f t="shared" si="67"/>
        <v>347</v>
      </c>
      <c r="I351" s="5">
        <f>ステ計算型!$K$3</f>
        <v>7390</v>
      </c>
      <c r="J351" s="5">
        <f>ステ計算型!$N$3</f>
        <v>66</v>
      </c>
      <c r="K351" s="5">
        <v>352</v>
      </c>
      <c r="L351" s="7">
        <f t="shared" si="68"/>
        <v>-5</v>
      </c>
      <c r="M351" s="7">
        <f t="shared" si="62"/>
        <v>7015</v>
      </c>
      <c r="N351" s="2">
        <v>1</v>
      </c>
      <c r="O351" s="7">
        <f t="shared" si="60"/>
        <v>0.6</v>
      </c>
      <c r="P351" s="7">
        <f t="shared" si="69"/>
        <v>0.5</v>
      </c>
      <c r="Q351" s="2">
        <f>ステ計算型!$I$29</f>
        <v>1</v>
      </c>
      <c r="R351" s="2">
        <f>ステ計算型!$E$33</f>
        <v>0.2</v>
      </c>
      <c r="S351" s="7">
        <f t="shared" si="70"/>
        <v>6.6239999999999997</v>
      </c>
      <c r="T351" s="2">
        <f>ステ計算型!$I$27</f>
        <v>1.1000000000000001</v>
      </c>
      <c r="U351" s="2">
        <f>ステ計算型!$J$29</f>
        <v>2</v>
      </c>
      <c r="V351" s="2">
        <f>ステ計算型!$F$32</f>
        <v>0.75</v>
      </c>
      <c r="W351" s="2">
        <f>ステ計算型!$G$34</f>
        <v>1</v>
      </c>
      <c r="X351" s="7">
        <f t="shared" si="66"/>
        <v>44122.947</v>
      </c>
      <c r="Y351" s="7">
        <f t="shared" si="63"/>
        <v>400</v>
      </c>
      <c r="Z351" s="7">
        <f t="shared" si="64"/>
        <v>1</v>
      </c>
      <c r="AA351" s="38">
        <f>IF(L351&lt;ステ計算型!$A$20,0,1)</f>
        <v>0</v>
      </c>
      <c r="AB351" s="3">
        <f t="shared" si="65"/>
        <v>0</v>
      </c>
    </row>
    <row r="352" spans="1:28" ht="8.25" customHeight="1">
      <c r="A352" s="3">
        <f t="shared" si="61"/>
        <v>0</v>
      </c>
      <c r="B352" s="2">
        <f>ステ計算型!$B$2</f>
        <v>101</v>
      </c>
      <c r="C352" s="7">
        <f>VLOOKUP(B352,ポイント!$A$1:$D$43,4,FALSE)</f>
        <v>571</v>
      </c>
      <c r="D352" s="2">
        <f>ステ計算型!$B$4</f>
        <v>5</v>
      </c>
      <c r="E352" s="2">
        <f>ステ計算型!$B$6</f>
        <v>127</v>
      </c>
      <c r="F352" s="2">
        <f>ステ計算型!$B$8</f>
        <v>10</v>
      </c>
      <c r="G352" s="2">
        <f>ステ計算型!$B$9</f>
        <v>82</v>
      </c>
      <c r="H352" s="7">
        <f t="shared" si="67"/>
        <v>347</v>
      </c>
      <c r="I352" s="5">
        <f>ステ計算型!$K$3</f>
        <v>7390</v>
      </c>
      <c r="J352" s="5">
        <f>ステ計算型!$N$3</f>
        <v>66</v>
      </c>
      <c r="K352" s="5">
        <v>353</v>
      </c>
      <c r="L352" s="7">
        <f t="shared" si="68"/>
        <v>-6</v>
      </c>
      <c r="M352" s="7">
        <f t="shared" si="62"/>
        <v>6940</v>
      </c>
      <c r="N352" s="2">
        <v>1</v>
      </c>
      <c r="O352" s="7">
        <f t="shared" si="60"/>
        <v>0.6</v>
      </c>
      <c r="P352" s="7">
        <f t="shared" si="69"/>
        <v>0.5</v>
      </c>
      <c r="Q352" s="2">
        <f>ステ計算型!$I$29</f>
        <v>1</v>
      </c>
      <c r="R352" s="2">
        <f>ステ計算型!$E$33</f>
        <v>0.2</v>
      </c>
      <c r="S352" s="7">
        <f t="shared" si="70"/>
        <v>6.6359999999999992</v>
      </c>
      <c r="T352" s="2">
        <f>ステ計算型!$I$27</f>
        <v>1.1000000000000001</v>
      </c>
      <c r="U352" s="2">
        <f>ステ計算型!$J$29</f>
        <v>2</v>
      </c>
      <c r="V352" s="2">
        <f>ステ計算型!$F$32</f>
        <v>0.75</v>
      </c>
      <c r="W352" s="2">
        <f>ステ計算型!$G$34</f>
        <v>1</v>
      </c>
      <c r="X352" s="7">
        <f t="shared" si="66"/>
        <v>43719.918000000005</v>
      </c>
      <c r="Y352" s="7">
        <f t="shared" si="63"/>
        <v>400</v>
      </c>
      <c r="Z352" s="7">
        <f t="shared" si="64"/>
        <v>1</v>
      </c>
      <c r="AA352" s="38">
        <f>IF(L352&lt;ステ計算型!$A$20,0,1)</f>
        <v>0</v>
      </c>
      <c r="AB352" s="3">
        <f t="shared" si="65"/>
        <v>0</v>
      </c>
    </row>
    <row r="353" spans="1:28" ht="8.25" customHeight="1">
      <c r="A353" s="3">
        <f t="shared" si="61"/>
        <v>0</v>
      </c>
      <c r="B353" s="2">
        <f>ステ計算型!$B$2</f>
        <v>101</v>
      </c>
      <c r="C353" s="7">
        <f>VLOOKUP(B353,ポイント!$A$1:$D$43,4,FALSE)</f>
        <v>571</v>
      </c>
      <c r="D353" s="2">
        <f>ステ計算型!$B$4</f>
        <v>5</v>
      </c>
      <c r="E353" s="2">
        <f>ステ計算型!$B$6</f>
        <v>127</v>
      </c>
      <c r="F353" s="2">
        <f>ステ計算型!$B$8</f>
        <v>10</v>
      </c>
      <c r="G353" s="2">
        <f>ステ計算型!$B$9</f>
        <v>82</v>
      </c>
      <c r="H353" s="7">
        <f t="shared" si="67"/>
        <v>347</v>
      </c>
      <c r="I353" s="5">
        <f>ステ計算型!$K$3</f>
        <v>7390</v>
      </c>
      <c r="J353" s="5">
        <f>ステ計算型!$N$3</f>
        <v>66</v>
      </c>
      <c r="K353" s="5">
        <v>354</v>
      </c>
      <c r="L353" s="7">
        <f t="shared" si="68"/>
        <v>-7</v>
      </c>
      <c r="M353" s="7">
        <f t="shared" si="62"/>
        <v>6865</v>
      </c>
      <c r="N353" s="2">
        <v>1</v>
      </c>
      <c r="O353" s="7">
        <f t="shared" si="60"/>
        <v>0.6</v>
      </c>
      <c r="P353" s="7">
        <f t="shared" si="69"/>
        <v>0.5</v>
      </c>
      <c r="Q353" s="2">
        <f>ステ計算型!$I$29</f>
        <v>1</v>
      </c>
      <c r="R353" s="2">
        <f>ステ計算型!$E$33</f>
        <v>0.2</v>
      </c>
      <c r="S353" s="7">
        <f t="shared" si="70"/>
        <v>6.6479999999999997</v>
      </c>
      <c r="T353" s="2">
        <f>ステ計算型!$I$27</f>
        <v>1.1000000000000001</v>
      </c>
      <c r="U353" s="2">
        <f>ステ計算型!$J$29</f>
        <v>2</v>
      </c>
      <c r="V353" s="2">
        <f>ステ計算型!$F$32</f>
        <v>0.75</v>
      </c>
      <c r="W353" s="2">
        <f>ステ計算型!$G$34</f>
        <v>1</v>
      </c>
      <c r="X353" s="7">
        <f t="shared" si="66"/>
        <v>43315.404000000002</v>
      </c>
      <c r="Y353" s="7">
        <f t="shared" si="63"/>
        <v>400</v>
      </c>
      <c r="Z353" s="7">
        <f t="shared" si="64"/>
        <v>1</v>
      </c>
      <c r="AA353" s="38">
        <f>IF(L353&lt;ステ計算型!$A$20,0,1)</f>
        <v>0</v>
      </c>
      <c r="AB353" s="3">
        <f t="shared" si="65"/>
        <v>0</v>
      </c>
    </row>
    <row r="354" spans="1:28" ht="8.25" customHeight="1">
      <c r="A354" s="3">
        <f t="shared" si="61"/>
        <v>0</v>
      </c>
      <c r="B354" s="2">
        <f>ステ計算型!$B$2</f>
        <v>101</v>
      </c>
      <c r="C354" s="7">
        <f>VLOOKUP(B354,ポイント!$A$1:$D$43,4,FALSE)</f>
        <v>571</v>
      </c>
      <c r="D354" s="2">
        <f>ステ計算型!$B$4</f>
        <v>5</v>
      </c>
      <c r="E354" s="2">
        <f>ステ計算型!$B$6</f>
        <v>127</v>
      </c>
      <c r="F354" s="2">
        <f>ステ計算型!$B$8</f>
        <v>10</v>
      </c>
      <c r="G354" s="2">
        <f>ステ計算型!$B$9</f>
        <v>82</v>
      </c>
      <c r="H354" s="7">
        <f t="shared" si="67"/>
        <v>347</v>
      </c>
      <c r="I354" s="5">
        <f>ステ計算型!$K$3</f>
        <v>7390</v>
      </c>
      <c r="J354" s="5">
        <f>ステ計算型!$N$3</f>
        <v>66</v>
      </c>
      <c r="K354" s="5">
        <v>355</v>
      </c>
      <c r="L354" s="7">
        <f t="shared" si="68"/>
        <v>-8</v>
      </c>
      <c r="M354" s="7">
        <f t="shared" si="62"/>
        <v>6790</v>
      </c>
      <c r="N354" s="2">
        <v>1</v>
      </c>
      <c r="O354" s="7">
        <f t="shared" si="60"/>
        <v>0.61</v>
      </c>
      <c r="P354" s="7">
        <f t="shared" si="69"/>
        <v>0.5</v>
      </c>
      <c r="Q354" s="2">
        <f>ステ計算型!$I$29</f>
        <v>1</v>
      </c>
      <c r="R354" s="2">
        <f>ステ計算型!$E$33</f>
        <v>0.2</v>
      </c>
      <c r="S354" s="7">
        <f t="shared" si="70"/>
        <v>6.6599999999999993</v>
      </c>
      <c r="T354" s="2">
        <f>ステ計算型!$I$27</f>
        <v>1.1000000000000001</v>
      </c>
      <c r="U354" s="2">
        <f>ステ計算型!$J$29</f>
        <v>2</v>
      </c>
      <c r="V354" s="2">
        <f>ステ計算型!$F$32</f>
        <v>0.75</v>
      </c>
      <c r="W354" s="2">
        <f>ステ計算型!$G$34</f>
        <v>1</v>
      </c>
      <c r="X354" s="7">
        <f t="shared" si="66"/>
        <v>42909.405000000006</v>
      </c>
      <c r="Y354" s="7">
        <f t="shared" si="63"/>
        <v>400</v>
      </c>
      <c r="Z354" s="7">
        <f t="shared" si="64"/>
        <v>1</v>
      </c>
      <c r="AA354" s="38">
        <f>IF(L354&lt;ステ計算型!$A$20,0,1)</f>
        <v>0</v>
      </c>
      <c r="AB354" s="3">
        <f t="shared" si="65"/>
        <v>0</v>
      </c>
    </row>
    <row r="355" spans="1:28" ht="8.25" customHeight="1">
      <c r="A355" s="3">
        <f t="shared" si="61"/>
        <v>0</v>
      </c>
      <c r="B355" s="2">
        <f>ステ計算型!$B$2</f>
        <v>101</v>
      </c>
      <c r="C355" s="7">
        <f>VLOOKUP(B355,ポイント!$A$1:$D$43,4,FALSE)</f>
        <v>571</v>
      </c>
      <c r="D355" s="2">
        <f>ステ計算型!$B$4</f>
        <v>5</v>
      </c>
      <c r="E355" s="2">
        <f>ステ計算型!$B$6</f>
        <v>127</v>
      </c>
      <c r="F355" s="2">
        <f>ステ計算型!$B$8</f>
        <v>10</v>
      </c>
      <c r="G355" s="2">
        <f>ステ計算型!$B$9</f>
        <v>82</v>
      </c>
      <c r="H355" s="7">
        <f t="shared" si="67"/>
        <v>347</v>
      </c>
      <c r="I355" s="5">
        <f>ステ計算型!$K$3</f>
        <v>7390</v>
      </c>
      <c r="J355" s="5">
        <f>ステ計算型!$N$3</f>
        <v>66</v>
      </c>
      <c r="K355" s="5">
        <v>356</v>
      </c>
      <c r="L355" s="7">
        <f t="shared" si="68"/>
        <v>-9</v>
      </c>
      <c r="M355" s="7">
        <f t="shared" si="62"/>
        <v>6715</v>
      </c>
      <c r="N355" s="2">
        <v>1</v>
      </c>
      <c r="O355" s="7">
        <f t="shared" si="60"/>
        <v>0.61</v>
      </c>
      <c r="P355" s="7">
        <f t="shared" si="69"/>
        <v>0.5</v>
      </c>
      <c r="Q355" s="2">
        <f>ステ計算型!$I$29</f>
        <v>1</v>
      </c>
      <c r="R355" s="2">
        <f>ステ計算型!$E$33</f>
        <v>0.2</v>
      </c>
      <c r="S355" s="7">
        <f t="shared" si="70"/>
        <v>6.6720000000000006</v>
      </c>
      <c r="T355" s="2">
        <f>ステ計算型!$I$27</f>
        <v>1.1000000000000001</v>
      </c>
      <c r="U355" s="2">
        <f>ステ計算型!$J$29</f>
        <v>2</v>
      </c>
      <c r="V355" s="2">
        <f>ステ計算型!$F$32</f>
        <v>0.75</v>
      </c>
      <c r="W355" s="2">
        <f>ステ計算型!$G$34</f>
        <v>1</v>
      </c>
      <c r="X355" s="7">
        <f t="shared" si="66"/>
        <v>42501.921000000009</v>
      </c>
      <c r="Y355" s="7">
        <f t="shared" si="63"/>
        <v>400</v>
      </c>
      <c r="Z355" s="7">
        <f t="shared" si="64"/>
        <v>1</v>
      </c>
      <c r="AA355" s="38">
        <f>IF(L355&lt;ステ計算型!$A$20,0,1)</f>
        <v>0</v>
      </c>
      <c r="AB355" s="3">
        <f t="shared" si="65"/>
        <v>0</v>
      </c>
    </row>
    <row r="356" spans="1:28" ht="8.25" customHeight="1">
      <c r="A356" s="3">
        <f t="shared" si="61"/>
        <v>0</v>
      </c>
      <c r="B356" s="2">
        <f>ステ計算型!$B$2</f>
        <v>101</v>
      </c>
      <c r="C356" s="7">
        <f>VLOOKUP(B356,ポイント!$A$1:$D$43,4,FALSE)</f>
        <v>571</v>
      </c>
      <c r="D356" s="2">
        <f>ステ計算型!$B$4</f>
        <v>5</v>
      </c>
      <c r="E356" s="2">
        <f>ステ計算型!$B$6</f>
        <v>127</v>
      </c>
      <c r="F356" s="2">
        <f>ステ計算型!$B$8</f>
        <v>10</v>
      </c>
      <c r="G356" s="2">
        <f>ステ計算型!$B$9</f>
        <v>82</v>
      </c>
      <c r="H356" s="7">
        <f t="shared" si="67"/>
        <v>347</v>
      </c>
      <c r="I356" s="5">
        <f>ステ計算型!$K$3</f>
        <v>7390</v>
      </c>
      <c r="J356" s="5">
        <f>ステ計算型!$N$3</f>
        <v>66</v>
      </c>
      <c r="K356" s="5">
        <v>357</v>
      </c>
      <c r="L356" s="7">
        <f t="shared" si="68"/>
        <v>-10</v>
      </c>
      <c r="M356" s="7">
        <f t="shared" si="62"/>
        <v>6641</v>
      </c>
      <c r="N356" s="2">
        <v>1</v>
      </c>
      <c r="O356" s="7">
        <f t="shared" si="60"/>
        <v>0.61</v>
      </c>
      <c r="P356" s="7">
        <f t="shared" si="69"/>
        <v>0.5</v>
      </c>
      <c r="Q356" s="2">
        <f>ステ計算型!$I$29</f>
        <v>1</v>
      </c>
      <c r="R356" s="2">
        <f>ステ計算型!$E$33</f>
        <v>0.2</v>
      </c>
      <c r="S356" s="7">
        <f t="shared" si="70"/>
        <v>6.6840000000000002</v>
      </c>
      <c r="T356" s="2">
        <f>ステ計算型!$I$27</f>
        <v>1.1000000000000001</v>
      </c>
      <c r="U356" s="2">
        <f>ステ計算型!$J$29</f>
        <v>2</v>
      </c>
      <c r="V356" s="2">
        <f>ステ計算型!$F$32</f>
        <v>0.75</v>
      </c>
      <c r="W356" s="2">
        <f>ステ計算型!$G$34</f>
        <v>1</v>
      </c>
      <c r="X356" s="7">
        <f t="shared" si="66"/>
        <v>42099.291300000012</v>
      </c>
      <c r="Y356" s="7">
        <f t="shared" si="63"/>
        <v>400</v>
      </c>
      <c r="Z356" s="7">
        <f t="shared" si="64"/>
        <v>1</v>
      </c>
      <c r="AA356" s="38">
        <f>IF(L356&lt;ステ計算型!$A$20,0,1)</f>
        <v>0</v>
      </c>
      <c r="AB356" s="3">
        <f t="shared" si="65"/>
        <v>0</v>
      </c>
    </row>
    <row r="357" spans="1:28" ht="8.25" customHeight="1">
      <c r="A357" s="3">
        <f t="shared" si="61"/>
        <v>0</v>
      </c>
      <c r="B357" s="2">
        <f>ステ計算型!$B$2</f>
        <v>101</v>
      </c>
      <c r="C357" s="7">
        <f>VLOOKUP(B357,ポイント!$A$1:$D$43,4,FALSE)</f>
        <v>571</v>
      </c>
      <c r="D357" s="2">
        <f>ステ計算型!$B$4</f>
        <v>5</v>
      </c>
      <c r="E357" s="2">
        <f>ステ計算型!$B$6</f>
        <v>127</v>
      </c>
      <c r="F357" s="2">
        <f>ステ計算型!$B$8</f>
        <v>10</v>
      </c>
      <c r="G357" s="2">
        <f>ステ計算型!$B$9</f>
        <v>82</v>
      </c>
      <c r="H357" s="7">
        <f t="shared" si="67"/>
        <v>347</v>
      </c>
      <c r="I357" s="5">
        <f>ステ計算型!$K$3</f>
        <v>7390</v>
      </c>
      <c r="J357" s="5">
        <f>ステ計算型!$N$3</f>
        <v>66</v>
      </c>
      <c r="K357" s="5">
        <v>358</v>
      </c>
      <c r="L357" s="7">
        <f t="shared" si="68"/>
        <v>-11</v>
      </c>
      <c r="M357" s="7">
        <f t="shared" si="62"/>
        <v>6566</v>
      </c>
      <c r="N357" s="2">
        <v>1</v>
      </c>
      <c r="O357" s="7">
        <f t="shared" si="60"/>
        <v>0.61</v>
      </c>
      <c r="P357" s="7">
        <f t="shared" si="69"/>
        <v>0.5</v>
      </c>
      <c r="Q357" s="2">
        <f>ステ計算型!$I$29</f>
        <v>1</v>
      </c>
      <c r="R357" s="2">
        <f>ステ計算型!$E$33</f>
        <v>0.2</v>
      </c>
      <c r="S357" s="7">
        <f t="shared" si="70"/>
        <v>6.6959999999999997</v>
      </c>
      <c r="T357" s="2">
        <f>ステ計算型!$I$27</f>
        <v>1.1000000000000001</v>
      </c>
      <c r="U357" s="2">
        <f>ステ計算型!$J$29</f>
        <v>2</v>
      </c>
      <c r="V357" s="2">
        <f>ステ計算型!$F$32</f>
        <v>0.75</v>
      </c>
      <c r="W357" s="2">
        <f>ステ計算型!$G$34</f>
        <v>1</v>
      </c>
      <c r="X357" s="7">
        <f t="shared" si="66"/>
        <v>41688.847200000004</v>
      </c>
      <c r="Y357" s="7">
        <f t="shared" si="63"/>
        <v>400</v>
      </c>
      <c r="Z357" s="7">
        <f t="shared" si="64"/>
        <v>1</v>
      </c>
      <c r="AA357" s="38">
        <f>IF(L357&lt;ステ計算型!$A$20,0,1)</f>
        <v>0</v>
      </c>
      <c r="AB357" s="3">
        <f t="shared" si="65"/>
        <v>0</v>
      </c>
    </row>
    <row r="358" spans="1:28" ht="8.25" customHeight="1">
      <c r="A358" s="3">
        <f t="shared" si="61"/>
        <v>0</v>
      </c>
      <c r="B358" s="2">
        <f>ステ計算型!$B$2</f>
        <v>101</v>
      </c>
      <c r="C358" s="7">
        <f>VLOOKUP(B358,ポイント!$A$1:$D$43,4,FALSE)</f>
        <v>571</v>
      </c>
      <c r="D358" s="2">
        <f>ステ計算型!$B$4</f>
        <v>5</v>
      </c>
      <c r="E358" s="2">
        <f>ステ計算型!$B$6</f>
        <v>127</v>
      </c>
      <c r="F358" s="2">
        <f>ステ計算型!$B$8</f>
        <v>10</v>
      </c>
      <c r="G358" s="2">
        <f>ステ計算型!$B$9</f>
        <v>82</v>
      </c>
      <c r="H358" s="7">
        <f t="shared" si="67"/>
        <v>347</v>
      </c>
      <c r="I358" s="5">
        <f>ステ計算型!$K$3</f>
        <v>7390</v>
      </c>
      <c r="J358" s="5">
        <f>ステ計算型!$N$3</f>
        <v>66</v>
      </c>
      <c r="K358" s="5">
        <v>359</v>
      </c>
      <c r="L358" s="7">
        <f t="shared" si="68"/>
        <v>-12</v>
      </c>
      <c r="M358" s="7">
        <f t="shared" si="62"/>
        <v>6491</v>
      </c>
      <c r="N358" s="2">
        <v>1</v>
      </c>
      <c r="O358" s="7">
        <f t="shared" si="60"/>
        <v>0.61</v>
      </c>
      <c r="P358" s="7">
        <f t="shared" si="69"/>
        <v>0.5</v>
      </c>
      <c r="Q358" s="2">
        <f>ステ計算型!$I$29</f>
        <v>1</v>
      </c>
      <c r="R358" s="2">
        <f>ステ計算型!$E$33</f>
        <v>0.2</v>
      </c>
      <c r="S358" s="7">
        <f t="shared" si="70"/>
        <v>6.7079999999999993</v>
      </c>
      <c r="T358" s="2">
        <f>ステ計算型!$I$27</f>
        <v>1.1000000000000001</v>
      </c>
      <c r="U358" s="2">
        <f>ステ計算型!$J$29</f>
        <v>2</v>
      </c>
      <c r="V358" s="2">
        <f>ステ計算型!$F$32</f>
        <v>0.75</v>
      </c>
      <c r="W358" s="2">
        <f>ステ計算型!$G$34</f>
        <v>1</v>
      </c>
      <c r="X358" s="7">
        <f t="shared" si="66"/>
        <v>41276.918099999995</v>
      </c>
      <c r="Y358" s="7">
        <f t="shared" si="63"/>
        <v>400</v>
      </c>
      <c r="Z358" s="7">
        <f t="shared" si="64"/>
        <v>1</v>
      </c>
      <c r="AA358" s="38">
        <f>IF(L358&lt;ステ計算型!$A$20,0,1)</f>
        <v>0</v>
      </c>
      <c r="AB358" s="3">
        <f t="shared" si="65"/>
        <v>0</v>
      </c>
    </row>
    <row r="359" spans="1:28" ht="8.25" customHeight="1">
      <c r="A359" s="3">
        <f t="shared" si="61"/>
        <v>0</v>
      </c>
      <c r="B359" s="2">
        <f>ステ計算型!$B$2</f>
        <v>101</v>
      </c>
      <c r="C359" s="7">
        <f>VLOOKUP(B359,ポイント!$A$1:$D$43,4,FALSE)</f>
        <v>571</v>
      </c>
      <c r="D359" s="2">
        <f>ステ計算型!$B$4</f>
        <v>5</v>
      </c>
      <c r="E359" s="2">
        <f>ステ計算型!$B$6</f>
        <v>127</v>
      </c>
      <c r="F359" s="2">
        <f>ステ計算型!$B$8</f>
        <v>10</v>
      </c>
      <c r="G359" s="2">
        <f>ステ計算型!$B$9</f>
        <v>82</v>
      </c>
      <c r="H359" s="7">
        <f t="shared" si="67"/>
        <v>347</v>
      </c>
      <c r="I359" s="5">
        <f>ステ計算型!$K$3</f>
        <v>7390</v>
      </c>
      <c r="J359" s="5">
        <f>ステ計算型!$N$3</f>
        <v>66</v>
      </c>
      <c r="K359" s="5">
        <v>360</v>
      </c>
      <c r="L359" s="7">
        <f t="shared" si="68"/>
        <v>-13</v>
      </c>
      <c r="M359" s="7">
        <f t="shared" si="62"/>
        <v>6416</v>
      </c>
      <c r="N359" s="2">
        <v>1</v>
      </c>
      <c r="O359" s="7">
        <f t="shared" si="60"/>
        <v>0.61</v>
      </c>
      <c r="P359" s="7">
        <f t="shared" si="69"/>
        <v>0.5</v>
      </c>
      <c r="Q359" s="2">
        <f>ステ計算型!$I$29</f>
        <v>1</v>
      </c>
      <c r="R359" s="2">
        <f>ステ計算型!$E$33</f>
        <v>0.2</v>
      </c>
      <c r="S359" s="7">
        <f t="shared" si="70"/>
        <v>6.72</v>
      </c>
      <c r="T359" s="2">
        <f>ステ計算型!$I$27</f>
        <v>1.1000000000000001</v>
      </c>
      <c r="U359" s="2">
        <f>ステ計算型!$J$29</f>
        <v>2</v>
      </c>
      <c r="V359" s="2">
        <f>ステ計算型!$F$32</f>
        <v>0.75</v>
      </c>
      <c r="W359" s="2">
        <f>ステ計算型!$G$34</f>
        <v>1</v>
      </c>
      <c r="X359" s="7">
        <f t="shared" si="66"/>
        <v>40863.503999999994</v>
      </c>
      <c r="Y359" s="7">
        <f t="shared" si="63"/>
        <v>400</v>
      </c>
      <c r="Z359" s="7">
        <f t="shared" si="64"/>
        <v>1</v>
      </c>
      <c r="AA359" s="38">
        <f>IF(L359&lt;ステ計算型!$A$20,0,1)</f>
        <v>0</v>
      </c>
      <c r="AB359" s="3">
        <f t="shared" si="65"/>
        <v>0</v>
      </c>
    </row>
    <row r="360" spans="1:28" ht="8.25" customHeight="1">
      <c r="A360" s="3">
        <f t="shared" si="61"/>
        <v>0</v>
      </c>
      <c r="B360" s="2">
        <f>ステ計算型!$B$2</f>
        <v>101</v>
      </c>
      <c r="C360" s="7">
        <f>VLOOKUP(B360,ポイント!$A$1:$D$43,4,FALSE)</f>
        <v>571</v>
      </c>
      <c r="D360" s="2">
        <f>ステ計算型!$B$4</f>
        <v>5</v>
      </c>
      <c r="E360" s="2">
        <f>ステ計算型!$B$6</f>
        <v>127</v>
      </c>
      <c r="F360" s="2">
        <f>ステ計算型!$B$8</f>
        <v>10</v>
      </c>
      <c r="G360" s="2">
        <f>ステ計算型!$B$9</f>
        <v>82</v>
      </c>
      <c r="H360" s="7">
        <f t="shared" si="67"/>
        <v>347</v>
      </c>
      <c r="I360" s="5">
        <f>ステ計算型!$K$3</f>
        <v>7390</v>
      </c>
      <c r="J360" s="5">
        <f>ステ計算型!$N$3</f>
        <v>66</v>
      </c>
      <c r="K360" s="5">
        <v>361</v>
      </c>
      <c r="L360" s="7">
        <f t="shared" si="68"/>
        <v>-14</v>
      </c>
      <c r="M360" s="7">
        <f t="shared" si="62"/>
        <v>6341</v>
      </c>
      <c r="N360" s="2">
        <v>1</v>
      </c>
      <c r="O360" s="7">
        <f t="shared" si="60"/>
        <v>0.61</v>
      </c>
      <c r="P360" s="7">
        <f t="shared" si="69"/>
        <v>0.5</v>
      </c>
      <c r="Q360" s="2">
        <f>ステ計算型!$I$29</f>
        <v>1</v>
      </c>
      <c r="R360" s="2">
        <f>ステ計算型!$E$33</f>
        <v>0.2</v>
      </c>
      <c r="S360" s="7">
        <f t="shared" si="70"/>
        <v>6.7319999999999993</v>
      </c>
      <c r="T360" s="2">
        <f>ステ計算型!$I$27</f>
        <v>1.1000000000000001</v>
      </c>
      <c r="U360" s="2">
        <f>ステ計算型!$J$29</f>
        <v>2</v>
      </c>
      <c r="V360" s="2">
        <f>ステ計算型!$F$32</f>
        <v>0.75</v>
      </c>
      <c r="W360" s="2">
        <f>ステ計算型!$G$34</f>
        <v>1</v>
      </c>
      <c r="X360" s="7">
        <f t="shared" si="66"/>
        <v>40448.604899999998</v>
      </c>
      <c r="Y360" s="7">
        <f t="shared" si="63"/>
        <v>400</v>
      </c>
      <c r="Z360" s="7">
        <f t="shared" si="64"/>
        <v>1</v>
      </c>
      <c r="AA360" s="38">
        <f>IF(L360&lt;ステ計算型!$A$20,0,1)</f>
        <v>0</v>
      </c>
      <c r="AB360" s="3">
        <f t="shared" si="65"/>
        <v>0</v>
      </c>
    </row>
    <row r="361" spans="1:28" ht="8.25" customHeight="1">
      <c r="A361" s="3">
        <f t="shared" si="61"/>
        <v>0</v>
      </c>
      <c r="B361" s="2">
        <f>ステ計算型!$B$2</f>
        <v>101</v>
      </c>
      <c r="C361" s="7">
        <f>VLOOKUP(B361,ポイント!$A$1:$D$43,4,FALSE)</f>
        <v>571</v>
      </c>
      <c r="D361" s="2">
        <f>ステ計算型!$B$4</f>
        <v>5</v>
      </c>
      <c r="E361" s="2">
        <f>ステ計算型!$B$6</f>
        <v>127</v>
      </c>
      <c r="F361" s="2">
        <f>ステ計算型!$B$8</f>
        <v>10</v>
      </c>
      <c r="G361" s="2">
        <f>ステ計算型!$B$9</f>
        <v>82</v>
      </c>
      <c r="H361" s="7">
        <f t="shared" si="67"/>
        <v>347</v>
      </c>
      <c r="I361" s="5">
        <f>ステ計算型!$K$3</f>
        <v>7390</v>
      </c>
      <c r="J361" s="5">
        <f>ステ計算型!$N$3</f>
        <v>66</v>
      </c>
      <c r="K361" s="5">
        <v>362</v>
      </c>
      <c r="L361" s="7">
        <f t="shared" si="68"/>
        <v>-15</v>
      </c>
      <c r="M361" s="7">
        <f t="shared" si="62"/>
        <v>6266</v>
      </c>
      <c r="N361" s="2">
        <v>1</v>
      </c>
      <c r="O361" s="7">
        <f t="shared" si="60"/>
        <v>0.61</v>
      </c>
      <c r="P361" s="7">
        <f t="shared" si="69"/>
        <v>0.5</v>
      </c>
      <c r="Q361" s="2">
        <f>ステ計算型!$I$29</f>
        <v>1</v>
      </c>
      <c r="R361" s="2">
        <f>ステ計算型!$E$33</f>
        <v>0.2</v>
      </c>
      <c r="S361" s="7">
        <f t="shared" si="70"/>
        <v>6.7439999999999998</v>
      </c>
      <c r="T361" s="2">
        <f>ステ計算型!$I$27</f>
        <v>1.1000000000000001</v>
      </c>
      <c r="U361" s="2">
        <f>ステ計算型!$J$29</f>
        <v>2</v>
      </c>
      <c r="V361" s="2">
        <f>ステ計算型!$F$32</f>
        <v>0.75</v>
      </c>
      <c r="W361" s="2">
        <f>ステ計算型!$G$34</f>
        <v>1</v>
      </c>
      <c r="X361" s="7">
        <f t="shared" si="66"/>
        <v>40032.220799999996</v>
      </c>
      <c r="Y361" s="7">
        <f t="shared" si="63"/>
        <v>400</v>
      </c>
      <c r="Z361" s="7">
        <f t="shared" si="64"/>
        <v>1</v>
      </c>
      <c r="AA361" s="38">
        <f>IF(L361&lt;ステ計算型!$A$20,0,1)</f>
        <v>0</v>
      </c>
      <c r="AB361" s="3">
        <f t="shared" si="65"/>
        <v>0</v>
      </c>
    </row>
    <row r="362" spans="1:28" ht="8.25" customHeight="1">
      <c r="A362" s="3">
        <f t="shared" si="61"/>
        <v>0</v>
      </c>
      <c r="B362" s="2">
        <f>ステ計算型!$B$2</f>
        <v>101</v>
      </c>
      <c r="C362" s="7">
        <f>VLOOKUP(B362,ポイント!$A$1:$D$43,4,FALSE)</f>
        <v>571</v>
      </c>
      <c r="D362" s="2">
        <f>ステ計算型!$B$4</f>
        <v>5</v>
      </c>
      <c r="E362" s="2">
        <f>ステ計算型!$B$6</f>
        <v>127</v>
      </c>
      <c r="F362" s="2">
        <f>ステ計算型!$B$8</f>
        <v>10</v>
      </c>
      <c r="G362" s="2">
        <f>ステ計算型!$B$9</f>
        <v>82</v>
      </c>
      <c r="H362" s="7">
        <f t="shared" si="67"/>
        <v>347</v>
      </c>
      <c r="I362" s="5">
        <f>ステ計算型!$K$3</f>
        <v>7390</v>
      </c>
      <c r="J362" s="5">
        <f>ステ計算型!$N$3</f>
        <v>66</v>
      </c>
      <c r="K362" s="5">
        <v>363</v>
      </c>
      <c r="L362" s="7">
        <f t="shared" si="68"/>
        <v>-16</v>
      </c>
      <c r="M362" s="7">
        <f t="shared" si="62"/>
        <v>6191</v>
      </c>
      <c r="N362" s="2">
        <v>1</v>
      </c>
      <c r="O362" s="7">
        <f t="shared" si="60"/>
        <v>0.62</v>
      </c>
      <c r="P362" s="7">
        <f t="shared" si="69"/>
        <v>0.5</v>
      </c>
      <c r="Q362" s="2">
        <f>ステ計算型!$I$29</f>
        <v>1</v>
      </c>
      <c r="R362" s="2">
        <f>ステ計算型!$E$33</f>
        <v>0.2</v>
      </c>
      <c r="S362" s="7">
        <f t="shared" si="70"/>
        <v>6.7559999999999993</v>
      </c>
      <c r="T362" s="2">
        <f>ステ計算型!$I$27</f>
        <v>1.1000000000000001</v>
      </c>
      <c r="U362" s="2">
        <f>ステ計算型!$J$29</f>
        <v>2</v>
      </c>
      <c r="V362" s="2">
        <f>ステ計算型!$F$32</f>
        <v>0.75</v>
      </c>
      <c r="W362" s="2">
        <f>ステ計算型!$G$34</f>
        <v>1</v>
      </c>
      <c r="X362" s="7">
        <f t="shared" si="66"/>
        <v>39614.351699999999</v>
      </c>
      <c r="Y362" s="7">
        <f t="shared" si="63"/>
        <v>400</v>
      </c>
      <c r="Z362" s="7">
        <f t="shared" si="64"/>
        <v>1</v>
      </c>
      <c r="AA362" s="38">
        <f>IF(L362&lt;ステ計算型!$A$20,0,1)</f>
        <v>0</v>
      </c>
      <c r="AB362" s="3">
        <f t="shared" si="65"/>
        <v>0</v>
      </c>
    </row>
    <row r="363" spans="1:28" ht="8.25" customHeight="1">
      <c r="A363" s="3">
        <f t="shared" si="61"/>
        <v>0</v>
      </c>
      <c r="B363" s="2">
        <f>ステ計算型!$B$2</f>
        <v>101</v>
      </c>
      <c r="C363" s="7">
        <f>VLOOKUP(B363,ポイント!$A$1:$D$43,4,FALSE)</f>
        <v>571</v>
      </c>
      <c r="D363" s="2">
        <f>ステ計算型!$B$4</f>
        <v>5</v>
      </c>
      <c r="E363" s="2">
        <f>ステ計算型!$B$6</f>
        <v>127</v>
      </c>
      <c r="F363" s="2">
        <f>ステ計算型!$B$8</f>
        <v>10</v>
      </c>
      <c r="G363" s="2">
        <f>ステ計算型!$B$9</f>
        <v>82</v>
      </c>
      <c r="H363" s="7">
        <f t="shared" si="67"/>
        <v>347</v>
      </c>
      <c r="I363" s="5">
        <f>ステ計算型!$K$3</f>
        <v>7390</v>
      </c>
      <c r="J363" s="5">
        <f>ステ計算型!$N$3</f>
        <v>66</v>
      </c>
      <c r="K363" s="5">
        <v>364</v>
      </c>
      <c r="L363" s="7">
        <f t="shared" si="68"/>
        <v>-17</v>
      </c>
      <c r="M363" s="7">
        <f t="shared" si="62"/>
        <v>6116</v>
      </c>
      <c r="N363" s="2">
        <v>1</v>
      </c>
      <c r="O363" s="7">
        <f t="shared" si="60"/>
        <v>0.62</v>
      </c>
      <c r="P363" s="7">
        <f t="shared" si="69"/>
        <v>0.5</v>
      </c>
      <c r="Q363" s="2">
        <f>ステ計算型!$I$29</f>
        <v>1</v>
      </c>
      <c r="R363" s="2">
        <f>ステ計算型!$E$33</f>
        <v>0.2</v>
      </c>
      <c r="S363" s="7">
        <f t="shared" si="70"/>
        <v>6.7680000000000007</v>
      </c>
      <c r="T363" s="2">
        <f>ステ計算型!$I$27</f>
        <v>1.1000000000000001</v>
      </c>
      <c r="U363" s="2">
        <f>ステ計算型!$J$29</f>
        <v>2</v>
      </c>
      <c r="V363" s="2">
        <f>ステ計算型!$F$32</f>
        <v>0.75</v>
      </c>
      <c r="W363" s="2">
        <f>ステ計算型!$G$34</f>
        <v>1</v>
      </c>
      <c r="X363" s="7">
        <f t="shared" si="66"/>
        <v>39194.997600000002</v>
      </c>
      <c r="Y363" s="7">
        <f t="shared" si="63"/>
        <v>400</v>
      </c>
      <c r="Z363" s="7">
        <f t="shared" si="64"/>
        <v>1</v>
      </c>
      <c r="AA363" s="38">
        <f>IF(L363&lt;ステ計算型!$A$20,0,1)</f>
        <v>0</v>
      </c>
      <c r="AB363" s="3">
        <f t="shared" si="65"/>
        <v>0</v>
      </c>
    </row>
    <row r="364" spans="1:28" ht="8.25" customHeight="1">
      <c r="A364" s="3">
        <f t="shared" si="61"/>
        <v>0</v>
      </c>
      <c r="B364" s="2">
        <f>ステ計算型!$B$2</f>
        <v>101</v>
      </c>
      <c r="C364" s="7">
        <f>VLOOKUP(B364,ポイント!$A$1:$D$43,4,FALSE)</f>
        <v>571</v>
      </c>
      <c r="D364" s="2">
        <f>ステ計算型!$B$4</f>
        <v>5</v>
      </c>
      <c r="E364" s="2">
        <f>ステ計算型!$B$6</f>
        <v>127</v>
      </c>
      <c r="F364" s="2">
        <f>ステ計算型!$B$8</f>
        <v>10</v>
      </c>
      <c r="G364" s="2">
        <f>ステ計算型!$B$9</f>
        <v>82</v>
      </c>
      <c r="H364" s="7">
        <f t="shared" si="67"/>
        <v>347</v>
      </c>
      <c r="I364" s="5">
        <f>ステ計算型!$K$3</f>
        <v>7390</v>
      </c>
      <c r="J364" s="5">
        <f>ステ計算型!$N$3</f>
        <v>66</v>
      </c>
      <c r="K364" s="5">
        <v>365</v>
      </c>
      <c r="L364" s="7">
        <f t="shared" si="68"/>
        <v>-18</v>
      </c>
      <c r="M364" s="7">
        <f t="shared" si="62"/>
        <v>6041</v>
      </c>
      <c r="N364" s="2">
        <v>1</v>
      </c>
      <c r="O364" s="7">
        <f t="shared" si="60"/>
        <v>0.62</v>
      </c>
      <c r="P364" s="7">
        <f t="shared" si="69"/>
        <v>0.5</v>
      </c>
      <c r="Q364" s="2">
        <f>ステ計算型!$I$29</f>
        <v>1</v>
      </c>
      <c r="R364" s="2">
        <f>ステ計算型!$E$33</f>
        <v>0.2</v>
      </c>
      <c r="S364" s="7">
        <f t="shared" si="70"/>
        <v>6.78</v>
      </c>
      <c r="T364" s="2">
        <f>ステ計算型!$I$27</f>
        <v>1.1000000000000001</v>
      </c>
      <c r="U364" s="2">
        <f>ステ計算型!$J$29</f>
        <v>2</v>
      </c>
      <c r="V364" s="2">
        <f>ステ計算型!$F$32</f>
        <v>0.75</v>
      </c>
      <c r="W364" s="2">
        <f>ステ計算型!$G$34</f>
        <v>1</v>
      </c>
      <c r="X364" s="7">
        <f t="shared" si="66"/>
        <v>38774.158500000012</v>
      </c>
      <c r="Y364" s="7">
        <f t="shared" si="63"/>
        <v>400</v>
      </c>
      <c r="Z364" s="7">
        <f t="shared" si="64"/>
        <v>1</v>
      </c>
      <c r="AA364" s="38">
        <f>IF(L364&lt;ステ計算型!$A$20,0,1)</f>
        <v>0</v>
      </c>
      <c r="AB364" s="3">
        <f t="shared" si="65"/>
        <v>0</v>
      </c>
    </row>
    <row r="365" spans="1:28" ht="8.25" customHeight="1">
      <c r="A365" s="3">
        <f t="shared" si="61"/>
        <v>0</v>
      </c>
      <c r="B365" s="2">
        <f>ステ計算型!$B$2</f>
        <v>101</v>
      </c>
      <c r="C365" s="7">
        <f>VLOOKUP(B365,ポイント!$A$1:$D$43,4,FALSE)</f>
        <v>571</v>
      </c>
      <c r="D365" s="2">
        <f>ステ計算型!$B$4</f>
        <v>5</v>
      </c>
      <c r="E365" s="2">
        <f>ステ計算型!$B$6</f>
        <v>127</v>
      </c>
      <c r="F365" s="2">
        <f>ステ計算型!$B$8</f>
        <v>10</v>
      </c>
      <c r="G365" s="2">
        <f>ステ計算型!$B$9</f>
        <v>82</v>
      </c>
      <c r="H365" s="7">
        <f t="shared" si="67"/>
        <v>347</v>
      </c>
      <c r="I365" s="5">
        <f>ステ計算型!$K$3</f>
        <v>7390</v>
      </c>
      <c r="J365" s="5">
        <f>ステ計算型!$N$3</f>
        <v>66</v>
      </c>
      <c r="K365" s="5">
        <v>366</v>
      </c>
      <c r="L365" s="7">
        <f t="shared" si="68"/>
        <v>-19</v>
      </c>
      <c r="M365" s="7">
        <f t="shared" si="62"/>
        <v>5966</v>
      </c>
      <c r="N365" s="2">
        <v>1</v>
      </c>
      <c r="O365" s="7">
        <f t="shared" si="60"/>
        <v>0.62</v>
      </c>
      <c r="P365" s="7">
        <f t="shared" si="69"/>
        <v>0.5</v>
      </c>
      <c r="Q365" s="2">
        <f>ステ計算型!$I$29</f>
        <v>1</v>
      </c>
      <c r="R365" s="2">
        <f>ステ計算型!$E$33</f>
        <v>0.2</v>
      </c>
      <c r="S365" s="7">
        <f t="shared" si="70"/>
        <v>6.7919999999999998</v>
      </c>
      <c r="T365" s="2">
        <f>ステ計算型!$I$27</f>
        <v>1.1000000000000001</v>
      </c>
      <c r="U365" s="2">
        <f>ステ計算型!$J$29</f>
        <v>2</v>
      </c>
      <c r="V365" s="2">
        <f>ステ計算型!$F$32</f>
        <v>0.75</v>
      </c>
      <c r="W365" s="2">
        <f>ステ計算型!$G$34</f>
        <v>1</v>
      </c>
      <c r="X365" s="7">
        <f t="shared" si="66"/>
        <v>38351.834400000007</v>
      </c>
      <c r="Y365" s="7">
        <f t="shared" si="63"/>
        <v>400</v>
      </c>
      <c r="Z365" s="7">
        <f t="shared" si="64"/>
        <v>1</v>
      </c>
      <c r="AA365" s="38">
        <f>IF(L365&lt;ステ計算型!$A$20,0,1)</f>
        <v>0</v>
      </c>
      <c r="AB365" s="3">
        <f t="shared" si="65"/>
        <v>0</v>
      </c>
    </row>
    <row r="366" spans="1:28" ht="8.25" customHeight="1">
      <c r="A366" s="3">
        <f t="shared" si="61"/>
        <v>0</v>
      </c>
      <c r="B366" s="2">
        <f>ステ計算型!$B$2</f>
        <v>101</v>
      </c>
      <c r="C366" s="7">
        <f>VLOOKUP(B366,ポイント!$A$1:$D$43,4,FALSE)</f>
        <v>571</v>
      </c>
      <c r="D366" s="2">
        <f>ステ計算型!$B$4</f>
        <v>5</v>
      </c>
      <c r="E366" s="2">
        <f>ステ計算型!$B$6</f>
        <v>127</v>
      </c>
      <c r="F366" s="2">
        <f>ステ計算型!$B$8</f>
        <v>10</v>
      </c>
      <c r="G366" s="2">
        <f>ステ計算型!$B$9</f>
        <v>82</v>
      </c>
      <c r="H366" s="7">
        <f t="shared" si="67"/>
        <v>347</v>
      </c>
      <c r="I366" s="5">
        <f>ステ計算型!$K$3</f>
        <v>7390</v>
      </c>
      <c r="J366" s="5">
        <f>ステ計算型!$N$3</f>
        <v>66</v>
      </c>
      <c r="K366" s="5">
        <v>367</v>
      </c>
      <c r="L366" s="7">
        <f t="shared" si="68"/>
        <v>-20</v>
      </c>
      <c r="M366" s="7">
        <f t="shared" si="62"/>
        <v>5892</v>
      </c>
      <c r="N366" s="2">
        <v>1</v>
      </c>
      <c r="O366" s="7">
        <f t="shared" si="60"/>
        <v>0.62</v>
      </c>
      <c r="P366" s="7">
        <f t="shared" si="69"/>
        <v>0.5</v>
      </c>
      <c r="Q366" s="2">
        <f>ステ計算型!$I$29</f>
        <v>1</v>
      </c>
      <c r="R366" s="2">
        <f>ステ計算型!$E$33</f>
        <v>0.2</v>
      </c>
      <c r="S366" s="7">
        <f t="shared" si="70"/>
        <v>6.8039999999999994</v>
      </c>
      <c r="T366" s="2">
        <f>ステ計算型!$I$27</f>
        <v>1.1000000000000001</v>
      </c>
      <c r="U366" s="2">
        <f>ステ計算型!$J$29</f>
        <v>2</v>
      </c>
      <c r="V366" s="2">
        <f>ステ計算型!$F$32</f>
        <v>0.75</v>
      </c>
      <c r="W366" s="2">
        <f>ステ計算型!$G$34</f>
        <v>1</v>
      </c>
      <c r="X366" s="7">
        <f t="shared" si="66"/>
        <v>37934.463599999995</v>
      </c>
      <c r="Y366" s="7">
        <f t="shared" si="63"/>
        <v>400</v>
      </c>
      <c r="Z366" s="7">
        <f t="shared" si="64"/>
        <v>1</v>
      </c>
      <c r="AA366" s="38">
        <f>IF(L366&lt;ステ計算型!$A$20,0,1)</f>
        <v>0</v>
      </c>
      <c r="AB366" s="3">
        <f t="shared" si="65"/>
        <v>0</v>
      </c>
    </row>
    <row r="367" spans="1:28" ht="8.25" customHeight="1">
      <c r="A367" s="3">
        <f t="shared" si="61"/>
        <v>0</v>
      </c>
      <c r="B367" s="2">
        <f>ステ計算型!$B$2</f>
        <v>101</v>
      </c>
      <c r="C367" s="7">
        <f>VLOOKUP(B367,ポイント!$A$1:$D$43,4,FALSE)</f>
        <v>571</v>
      </c>
      <c r="D367" s="2">
        <f>ステ計算型!$B$4</f>
        <v>5</v>
      </c>
      <c r="E367" s="2">
        <f>ステ計算型!$B$6</f>
        <v>127</v>
      </c>
      <c r="F367" s="2">
        <f>ステ計算型!$B$8</f>
        <v>10</v>
      </c>
      <c r="G367" s="2">
        <f>ステ計算型!$B$9</f>
        <v>82</v>
      </c>
      <c r="H367" s="7">
        <f t="shared" si="67"/>
        <v>347</v>
      </c>
      <c r="I367" s="5">
        <f>ステ計算型!$K$3</f>
        <v>7390</v>
      </c>
      <c r="J367" s="5">
        <f>ステ計算型!$N$3</f>
        <v>66</v>
      </c>
      <c r="K367" s="5">
        <v>368</v>
      </c>
      <c r="L367" s="7">
        <f t="shared" si="68"/>
        <v>-21</v>
      </c>
      <c r="M367" s="7">
        <f t="shared" si="62"/>
        <v>5817</v>
      </c>
      <c r="N367" s="2">
        <v>1</v>
      </c>
      <c r="O367" s="7">
        <f t="shared" si="60"/>
        <v>0.62</v>
      </c>
      <c r="P367" s="7">
        <f t="shared" si="69"/>
        <v>0.5</v>
      </c>
      <c r="Q367" s="2">
        <f>ステ計算型!$I$29</f>
        <v>1</v>
      </c>
      <c r="R367" s="2">
        <f>ステ計算型!$E$33</f>
        <v>0.2</v>
      </c>
      <c r="S367" s="7">
        <f t="shared" si="70"/>
        <v>6.8159999999999998</v>
      </c>
      <c r="T367" s="2">
        <f>ステ計算型!$I$27</f>
        <v>1.1000000000000001</v>
      </c>
      <c r="U367" s="2">
        <f>ステ計算型!$J$29</f>
        <v>2</v>
      </c>
      <c r="V367" s="2">
        <f>ステ計算型!$F$32</f>
        <v>0.75</v>
      </c>
      <c r="W367" s="2">
        <f>ステ計算型!$G$34</f>
        <v>1</v>
      </c>
      <c r="X367" s="7">
        <f t="shared" si="66"/>
        <v>37509.179399999994</v>
      </c>
      <c r="Y367" s="7">
        <f t="shared" si="63"/>
        <v>400</v>
      </c>
      <c r="Z367" s="7">
        <f t="shared" si="64"/>
        <v>1</v>
      </c>
      <c r="AA367" s="38">
        <f>IF(L367&lt;ステ計算型!$A$20,0,1)</f>
        <v>0</v>
      </c>
      <c r="AB367" s="3">
        <f t="shared" si="65"/>
        <v>0</v>
      </c>
    </row>
    <row r="368" spans="1:28" ht="8.25" customHeight="1">
      <c r="A368" s="3">
        <f t="shared" si="61"/>
        <v>0</v>
      </c>
      <c r="B368" s="2">
        <f>ステ計算型!$B$2</f>
        <v>101</v>
      </c>
      <c r="C368" s="7">
        <f>VLOOKUP(B368,ポイント!$A$1:$D$43,4,FALSE)</f>
        <v>571</v>
      </c>
      <c r="D368" s="2">
        <f>ステ計算型!$B$4</f>
        <v>5</v>
      </c>
      <c r="E368" s="2">
        <f>ステ計算型!$B$6</f>
        <v>127</v>
      </c>
      <c r="F368" s="2">
        <f>ステ計算型!$B$8</f>
        <v>10</v>
      </c>
      <c r="G368" s="2">
        <f>ステ計算型!$B$9</f>
        <v>82</v>
      </c>
      <c r="H368" s="7">
        <f t="shared" si="67"/>
        <v>347</v>
      </c>
      <c r="I368" s="5">
        <f>ステ計算型!$K$3</f>
        <v>7390</v>
      </c>
      <c r="J368" s="5">
        <f>ステ計算型!$N$3</f>
        <v>66</v>
      </c>
      <c r="K368" s="5">
        <v>369</v>
      </c>
      <c r="L368" s="7">
        <f t="shared" si="68"/>
        <v>-22</v>
      </c>
      <c r="M368" s="7">
        <f t="shared" si="62"/>
        <v>5742</v>
      </c>
      <c r="N368" s="2">
        <v>1</v>
      </c>
      <c r="O368" s="7">
        <f t="shared" si="60"/>
        <v>0.62</v>
      </c>
      <c r="P368" s="7">
        <f t="shared" si="69"/>
        <v>0.5</v>
      </c>
      <c r="Q368" s="2">
        <f>ステ計算型!$I$29</f>
        <v>1</v>
      </c>
      <c r="R368" s="2">
        <f>ステ計算型!$E$33</f>
        <v>0.2</v>
      </c>
      <c r="S368" s="7">
        <f t="shared" si="70"/>
        <v>6.8279999999999994</v>
      </c>
      <c r="T368" s="2">
        <f>ステ計算型!$I$27</f>
        <v>1.1000000000000001</v>
      </c>
      <c r="U368" s="2">
        <f>ステ計算型!$J$29</f>
        <v>2</v>
      </c>
      <c r="V368" s="2">
        <f>ステ計算型!$F$32</f>
        <v>0.75</v>
      </c>
      <c r="W368" s="2">
        <f>ステ計算型!$G$34</f>
        <v>1</v>
      </c>
      <c r="X368" s="7">
        <f t="shared" si="66"/>
        <v>37082.410199999998</v>
      </c>
      <c r="Y368" s="7">
        <f t="shared" si="63"/>
        <v>400</v>
      </c>
      <c r="Z368" s="7">
        <f t="shared" si="64"/>
        <v>1</v>
      </c>
      <c r="AA368" s="38">
        <f>IF(L368&lt;ステ計算型!$A$20,0,1)</f>
        <v>0</v>
      </c>
      <c r="AB368" s="3">
        <f t="shared" si="65"/>
        <v>0</v>
      </c>
    </row>
    <row r="369" spans="1:28" ht="8.25" customHeight="1">
      <c r="A369" s="3">
        <f t="shared" si="61"/>
        <v>0</v>
      </c>
      <c r="B369" s="2">
        <f>ステ計算型!$B$2</f>
        <v>101</v>
      </c>
      <c r="C369" s="7">
        <f>VLOOKUP(B369,ポイント!$A$1:$D$43,4,FALSE)</f>
        <v>571</v>
      </c>
      <c r="D369" s="2">
        <f>ステ計算型!$B$4</f>
        <v>5</v>
      </c>
      <c r="E369" s="2">
        <f>ステ計算型!$B$6</f>
        <v>127</v>
      </c>
      <c r="F369" s="2">
        <f>ステ計算型!$B$8</f>
        <v>10</v>
      </c>
      <c r="G369" s="2">
        <f>ステ計算型!$B$9</f>
        <v>82</v>
      </c>
      <c r="H369" s="7">
        <f t="shared" si="67"/>
        <v>347</v>
      </c>
      <c r="I369" s="5">
        <f>ステ計算型!$K$3</f>
        <v>7390</v>
      </c>
      <c r="J369" s="5">
        <f>ステ計算型!$N$3</f>
        <v>66</v>
      </c>
      <c r="K369" s="5">
        <v>370</v>
      </c>
      <c r="L369" s="7">
        <f t="shared" si="68"/>
        <v>-23</v>
      </c>
      <c r="M369" s="7">
        <f t="shared" si="62"/>
        <v>5667</v>
      </c>
      <c r="N369" s="2">
        <v>1</v>
      </c>
      <c r="O369" s="7">
        <f t="shared" si="60"/>
        <v>0.63</v>
      </c>
      <c r="P369" s="7">
        <f t="shared" si="69"/>
        <v>0.5</v>
      </c>
      <c r="Q369" s="2">
        <f>ステ計算型!$I$29</f>
        <v>1</v>
      </c>
      <c r="R369" s="2">
        <f>ステ計算型!$E$33</f>
        <v>0.2</v>
      </c>
      <c r="S369" s="7">
        <f t="shared" si="70"/>
        <v>6.84</v>
      </c>
      <c r="T369" s="2">
        <f>ステ計算型!$I$27</f>
        <v>1.1000000000000001</v>
      </c>
      <c r="U369" s="2">
        <f>ステ計算型!$J$29</f>
        <v>2</v>
      </c>
      <c r="V369" s="2">
        <f>ステ計算型!$F$32</f>
        <v>0.75</v>
      </c>
      <c r="W369" s="2">
        <f>ステ計算型!$G$34</f>
        <v>1</v>
      </c>
      <c r="X369" s="7">
        <f t="shared" si="66"/>
        <v>36654.156000000003</v>
      </c>
      <c r="Y369" s="7">
        <f t="shared" si="63"/>
        <v>400</v>
      </c>
      <c r="Z369" s="7">
        <f t="shared" si="64"/>
        <v>1</v>
      </c>
      <c r="AA369" s="38">
        <f>IF(L369&lt;ステ計算型!$A$20,0,1)</f>
        <v>0</v>
      </c>
      <c r="AB369" s="3">
        <f t="shared" si="65"/>
        <v>0</v>
      </c>
    </row>
    <row r="370" spans="1:28" ht="8.25" customHeight="1">
      <c r="A370" s="3">
        <f t="shared" si="61"/>
        <v>0</v>
      </c>
      <c r="B370" s="2">
        <f>ステ計算型!$B$2</f>
        <v>101</v>
      </c>
      <c r="C370" s="7">
        <f>VLOOKUP(B370,ポイント!$A$1:$D$43,4,FALSE)</f>
        <v>571</v>
      </c>
      <c r="D370" s="2">
        <f>ステ計算型!$B$4</f>
        <v>5</v>
      </c>
      <c r="E370" s="2">
        <f>ステ計算型!$B$6</f>
        <v>127</v>
      </c>
      <c r="F370" s="2">
        <f>ステ計算型!$B$8</f>
        <v>10</v>
      </c>
      <c r="G370" s="2">
        <f>ステ計算型!$B$9</f>
        <v>82</v>
      </c>
      <c r="H370" s="7">
        <f t="shared" si="67"/>
        <v>347</v>
      </c>
      <c r="I370" s="5">
        <f>ステ計算型!$K$3</f>
        <v>7390</v>
      </c>
      <c r="J370" s="5">
        <f>ステ計算型!$N$3</f>
        <v>66</v>
      </c>
      <c r="K370" s="5">
        <v>371</v>
      </c>
      <c r="L370" s="7">
        <f t="shared" si="68"/>
        <v>-24</v>
      </c>
      <c r="M370" s="7">
        <f t="shared" si="62"/>
        <v>5592</v>
      </c>
      <c r="N370" s="2">
        <v>1</v>
      </c>
      <c r="O370" s="7">
        <f t="shared" si="60"/>
        <v>0.63</v>
      </c>
      <c r="P370" s="7">
        <f t="shared" si="69"/>
        <v>0.5</v>
      </c>
      <c r="Q370" s="2">
        <f>ステ計算型!$I$29</f>
        <v>1</v>
      </c>
      <c r="R370" s="2">
        <f>ステ計算型!$E$33</f>
        <v>0.2</v>
      </c>
      <c r="S370" s="7">
        <f t="shared" si="70"/>
        <v>6.8519999999999994</v>
      </c>
      <c r="T370" s="2">
        <f>ステ計算型!$I$27</f>
        <v>1.1000000000000001</v>
      </c>
      <c r="U370" s="2">
        <f>ステ計算型!$J$29</f>
        <v>2</v>
      </c>
      <c r="V370" s="2">
        <f>ステ計算型!$F$32</f>
        <v>0.75</v>
      </c>
      <c r="W370" s="2">
        <f>ステ計算型!$G$34</f>
        <v>1</v>
      </c>
      <c r="X370" s="7">
        <f t="shared" si="66"/>
        <v>36224.416799999999</v>
      </c>
      <c r="Y370" s="7">
        <f t="shared" si="63"/>
        <v>400</v>
      </c>
      <c r="Z370" s="7">
        <f t="shared" si="64"/>
        <v>1</v>
      </c>
      <c r="AA370" s="38">
        <f>IF(L370&lt;ステ計算型!$A$20,0,1)</f>
        <v>0</v>
      </c>
      <c r="AB370" s="3">
        <f t="shared" si="65"/>
        <v>0</v>
      </c>
    </row>
    <row r="371" spans="1:28" ht="8.25" customHeight="1">
      <c r="A371" s="3">
        <f t="shared" si="61"/>
        <v>0</v>
      </c>
      <c r="B371" s="2">
        <f>ステ計算型!$B$2</f>
        <v>101</v>
      </c>
      <c r="C371" s="7">
        <f>VLOOKUP(B371,ポイント!$A$1:$D$43,4,FALSE)</f>
        <v>571</v>
      </c>
      <c r="D371" s="2">
        <f>ステ計算型!$B$4</f>
        <v>5</v>
      </c>
      <c r="E371" s="2">
        <f>ステ計算型!$B$6</f>
        <v>127</v>
      </c>
      <c r="F371" s="2">
        <f>ステ計算型!$B$8</f>
        <v>10</v>
      </c>
      <c r="G371" s="2">
        <f>ステ計算型!$B$9</f>
        <v>82</v>
      </c>
      <c r="H371" s="7">
        <f t="shared" si="67"/>
        <v>347</v>
      </c>
      <c r="I371" s="5">
        <f>ステ計算型!$K$3</f>
        <v>7390</v>
      </c>
      <c r="J371" s="5">
        <f>ステ計算型!$N$3</f>
        <v>66</v>
      </c>
      <c r="K371" s="5">
        <v>372</v>
      </c>
      <c r="L371" s="7">
        <f t="shared" si="68"/>
        <v>-25</v>
      </c>
      <c r="M371" s="7">
        <f t="shared" si="62"/>
        <v>5517</v>
      </c>
      <c r="N371" s="2">
        <v>1</v>
      </c>
      <c r="O371" s="7">
        <f t="shared" si="60"/>
        <v>0.63</v>
      </c>
      <c r="P371" s="7">
        <f t="shared" si="69"/>
        <v>0.5</v>
      </c>
      <c r="Q371" s="2">
        <f>ステ計算型!$I$29</f>
        <v>1</v>
      </c>
      <c r="R371" s="2">
        <f>ステ計算型!$E$33</f>
        <v>0.2</v>
      </c>
      <c r="S371" s="7">
        <f t="shared" si="70"/>
        <v>6.8640000000000008</v>
      </c>
      <c r="T371" s="2">
        <f>ステ計算型!$I$27</f>
        <v>1.1000000000000001</v>
      </c>
      <c r="U371" s="2">
        <f>ステ計算型!$J$29</f>
        <v>2</v>
      </c>
      <c r="V371" s="2">
        <f>ステ計算型!$F$32</f>
        <v>0.75</v>
      </c>
      <c r="W371" s="2">
        <f>ステ計算型!$G$34</f>
        <v>1</v>
      </c>
      <c r="X371" s="7">
        <f t="shared" si="66"/>
        <v>35793.192600000002</v>
      </c>
      <c r="Y371" s="7">
        <f t="shared" si="63"/>
        <v>400</v>
      </c>
      <c r="Z371" s="7">
        <f t="shared" si="64"/>
        <v>1</v>
      </c>
      <c r="AA371" s="38">
        <f>IF(L371&lt;ステ計算型!$A$20,0,1)</f>
        <v>0</v>
      </c>
      <c r="AB371" s="3">
        <f t="shared" si="65"/>
        <v>0</v>
      </c>
    </row>
    <row r="372" spans="1:28" ht="8.25" customHeight="1">
      <c r="A372" s="3">
        <f t="shared" si="61"/>
        <v>0</v>
      </c>
      <c r="B372" s="2">
        <f>ステ計算型!$B$2</f>
        <v>101</v>
      </c>
      <c r="C372" s="7">
        <f>VLOOKUP(B372,ポイント!$A$1:$D$43,4,FALSE)</f>
        <v>571</v>
      </c>
      <c r="D372" s="2">
        <f>ステ計算型!$B$4</f>
        <v>5</v>
      </c>
      <c r="E372" s="2">
        <f>ステ計算型!$B$6</f>
        <v>127</v>
      </c>
      <c r="F372" s="2">
        <f>ステ計算型!$B$8</f>
        <v>10</v>
      </c>
      <c r="G372" s="2">
        <f>ステ計算型!$B$9</f>
        <v>82</v>
      </c>
      <c r="H372" s="7">
        <f t="shared" si="67"/>
        <v>347</v>
      </c>
      <c r="I372" s="5">
        <f>ステ計算型!$K$3</f>
        <v>7390</v>
      </c>
      <c r="J372" s="5">
        <f>ステ計算型!$N$3</f>
        <v>66</v>
      </c>
      <c r="K372" s="5">
        <v>373</v>
      </c>
      <c r="L372" s="7">
        <f t="shared" si="68"/>
        <v>-26</v>
      </c>
      <c r="M372" s="7">
        <f t="shared" si="62"/>
        <v>5442</v>
      </c>
      <c r="N372" s="2">
        <v>1</v>
      </c>
      <c r="O372" s="7">
        <f t="shared" si="60"/>
        <v>0.63</v>
      </c>
      <c r="P372" s="7">
        <f t="shared" si="69"/>
        <v>0.5</v>
      </c>
      <c r="Q372" s="2">
        <f>ステ計算型!$I$29</f>
        <v>1</v>
      </c>
      <c r="R372" s="2">
        <f>ステ計算型!$E$33</f>
        <v>0.2</v>
      </c>
      <c r="S372" s="7">
        <f t="shared" si="70"/>
        <v>6.8760000000000003</v>
      </c>
      <c r="T372" s="2">
        <f>ステ計算型!$I$27</f>
        <v>1.1000000000000001</v>
      </c>
      <c r="U372" s="2">
        <f>ステ計算型!$J$29</f>
        <v>2</v>
      </c>
      <c r="V372" s="2">
        <f>ステ計算型!$F$32</f>
        <v>0.75</v>
      </c>
      <c r="W372" s="2">
        <f>ステ計算型!$G$34</f>
        <v>1</v>
      </c>
      <c r="X372" s="7">
        <f t="shared" si="66"/>
        <v>35360.483400000012</v>
      </c>
      <c r="Y372" s="7">
        <f t="shared" si="63"/>
        <v>400</v>
      </c>
      <c r="Z372" s="7">
        <f t="shared" si="64"/>
        <v>1</v>
      </c>
      <c r="AA372" s="38">
        <f>IF(L372&lt;ステ計算型!$A$20,0,1)</f>
        <v>0</v>
      </c>
      <c r="AB372" s="3">
        <f t="shared" si="65"/>
        <v>0</v>
      </c>
    </row>
    <row r="373" spans="1:28" ht="8.25" customHeight="1">
      <c r="A373" s="3">
        <f t="shared" si="61"/>
        <v>0</v>
      </c>
      <c r="B373" s="2">
        <f>ステ計算型!$B$2</f>
        <v>101</v>
      </c>
      <c r="C373" s="7">
        <f>VLOOKUP(B373,ポイント!$A$1:$D$43,4,FALSE)</f>
        <v>571</v>
      </c>
      <c r="D373" s="2">
        <f>ステ計算型!$B$4</f>
        <v>5</v>
      </c>
      <c r="E373" s="2">
        <f>ステ計算型!$B$6</f>
        <v>127</v>
      </c>
      <c r="F373" s="2">
        <f>ステ計算型!$B$8</f>
        <v>10</v>
      </c>
      <c r="G373" s="2">
        <f>ステ計算型!$B$9</f>
        <v>82</v>
      </c>
      <c r="H373" s="7">
        <f t="shared" si="67"/>
        <v>347</v>
      </c>
      <c r="I373" s="5">
        <f>ステ計算型!$K$3</f>
        <v>7390</v>
      </c>
      <c r="J373" s="5">
        <f>ステ計算型!$N$3</f>
        <v>66</v>
      </c>
      <c r="K373" s="5">
        <v>374</v>
      </c>
      <c r="L373" s="7">
        <f t="shared" si="68"/>
        <v>-27</v>
      </c>
      <c r="M373" s="7">
        <f t="shared" si="62"/>
        <v>5367</v>
      </c>
      <c r="N373" s="2">
        <v>1</v>
      </c>
      <c r="O373" s="7">
        <f t="shared" si="60"/>
        <v>0.63</v>
      </c>
      <c r="P373" s="7">
        <f t="shared" si="69"/>
        <v>0.5</v>
      </c>
      <c r="Q373" s="2">
        <f>ステ計算型!$I$29</f>
        <v>1</v>
      </c>
      <c r="R373" s="2">
        <f>ステ計算型!$E$33</f>
        <v>0.2</v>
      </c>
      <c r="S373" s="7">
        <f t="shared" si="70"/>
        <v>6.8879999999999999</v>
      </c>
      <c r="T373" s="2">
        <f>ステ計算型!$I$27</f>
        <v>1.1000000000000001</v>
      </c>
      <c r="U373" s="2">
        <f>ステ計算型!$J$29</f>
        <v>2</v>
      </c>
      <c r="V373" s="2">
        <f>ステ計算型!$F$32</f>
        <v>0.75</v>
      </c>
      <c r="W373" s="2">
        <f>ステ計算型!$G$34</f>
        <v>1</v>
      </c>
      <c r="X373" s="7">
        <f t="shared" si="66"/>
        <v>34926.289199999999</v>
      </c>
      <c r="Y373" s="7">
        <f t="shared" si="63"/>
        <v>400</v>
      </c>
      <c r="Z373" s="7">
        <f t="shared" si="64"/>
        <v>1</v>
      </c>
      <c r="AA373" s="38">
        <f>IF(L373&lt;ステ計算型!$A$20,0,1)</f>
        <v>0</v>
      </c>
      <c r="AB373" s="3">
        <f t="shared" si="65"/>
        <v>0</v>
      </c>
    </row>
    <row r="374" spans="1:28" ht="8.25" customHeight="1">
      <c r="A374" s="3">
        <f t="shared" si="61"/>
        <v>0</v>
      </c>
      <c r="B374" s="2">
        <f>ステ計算型!$B$2</f>
        <v>101</v>
      </c>
      <c r="C374" s="7">
        <f>VLOOKUP(B374,ポイント!$A$1:$D$43,4,FALSE)</f>
        <v>571</v>
      </c>
      <c r="D374" s="2">
        <f>ステ計算型!$B$4</f>
        <v>5</v>
      </c>
      <c r="E374" s="2">
        <f>ステ計算型!$B$6</f>
        <v>127</v>
      </c>
      <c r="F374" s="2">
        <f>ステ計算型!$B$8</f>
        <v>10</v>
      </c>
      <c r="G374" s="2">
        <f>ステ計算型!$B$9</f>
        <v>82</v>
      </c>
      <c r="H374" s="7">
        <f t="shared" si="67"/>
        <v>347</v>
      </c>
      <c r="I374" s="5">
        <f>ステ計算型!$K$3</f>
        <v>7390</v>
      </c>
      <c r="J374" s="5">
        <f>ステ計算型!$N$3</f>
        <v>66</v>
      </c>
      <c r="K374" s="5">
        <v>375</v>
      </c>
      <c r="L374" s="7">
        <f t="shared" si="68"/>
        <v>-28</v>
      </c>
      <c r="M374" s="7">
        <f t="shared" si="62"/>
        <v>5292</v>
      </c>
      <c r="N374" s="2">
        <v>1</v>
      </c>
      <c r="O374" s="7">
        <f t="shared" si="60"/>
        <v>0.63</v>
      </c>
      <c r="P374" s="7">
        <f t="shared" si="69"/>
        <v>0.5</v>
      </c>
      <c r="Q374" s="2">
        <f>ステ計算型!$I$29</f>
        <v>1</v>
      </c>
      <c r="R374" s="2">
        <f>ステ計算型!$E$33</f>
        <v>0.2</v>
      </c>
      <c r="S374" s="7">
        <f t="shared" si="70"/>
        <v>6.8999999999999995</v>
      </c>
      <c r="T374" s="2">
        <f>ステ計算型!$I$27</f>
        <v>1.1000000000000001</v>
      </c>
      <c r="U374" s="2">
        <f>ステ計算型!$J$29</f>
        <v>2</v>
      </c>
      <c r="V374" s="2">
        <f>ステ計算型!$F$32</f>
        <v>0.75</v>
      </c>
      <c r="W374" s="2">
        <f>ステ計算型!$G$34</f>
        <v>1</v>
      </c>
      <c r="X374" s="7">
        <f t="shared" si="66"/>
        <v>34490.61</v>
      </c>
      <c r="Y374" s="7">
        <f t="shared" si="63"/>
        <v>400</v>
      </c>
      <c r="Z374" s="7">
        <f t="shared" si="64"/>
        <v>1</v>
      </c>
      <c r="AA374" s="38">
        <f>IF(L374&lt;ステ計算型!$A$20,0,1)</f>
        <v>0</v>
      </c>
      <c r="AB374" s="3">
        <f t="shared" si="65"/>
        <v>0</v>
      </c>
    </row>
    <row r="375" spans="1:28" ht="8.25" customHeight="1">
      <c r="A375" s="3">
        <f t="shared" si="61"/>
        <v>0</v>
      </c>
      <c r="B375" s="2">
        <f>ステ計算型!$B$2</f>
        <v>101</v>
      </c>
      <c r="C375" s="7">
        <f>VLOOKUP(B375,ポイント!$A$1:$D$43,4,FALSE)</f>
        <v>571</v>
      </c>
      <c r="D375" s="2">
        <f>ステ計算型!$B$4</f>
        <v>5</v>
      </c>
      <c r="E375" s="2">
        <f>ステ計算型!$B$6</f>
        <v>127</v>
      </c>
      <c r="F375" s="2">
        <f>ステ計算型!$B$8</f>
        <v>10</v>
      </c>
      <c r="G375" s="2">
        <f>ステ計算型!$B$9</f>
        <v>82</v>
      </c>
      <c r="H375" s="7">
        <f t="shared" si="67"/>
        <v>347</v>
      </c>
      <c r="I375" s="5">
        <f>ステ計算型!$K$3</f>
        <v>7390</v>
      </c>
      <c r="J375" s="5">
        <f>ステ計算型!$N$3</f>
        <v>66</v>
      </c>
      <c r="K375" s="5">
        <v>376</v>
      </c>
      <c r="L375" s="7">
        <f t="shared" si="68"/>
        <v>-29</v>
      </c>
      <c r="M375" s="7">
        <f t="shared" si="62"/>
        <v>5217</v>
      </c>
      <c r="N375" s="2">
        <v>1</v>
      </c>
      <c r="O375" s="7">
        <f t="shared" si="60"/>
        <v>0.63</v>
      </c>
      <c r="P375" s="7">
        <f t="shared" si="69"/>
        <v>0.5</v>
      </c>
      <c r="Q375" s="2">
        <f>ステ計算型!$I$29</f>
        <v>1</v>
      </c>
      <c r="R375" s="2">
        <f>ステ計算型!$E$33</f>
        <v>0.2</v>
      </c>
      <c r="S375" s="7">
        <f t="shared" si="70"/>
        <v>6.9119999999999999</v>
      </c>
      <c r="T375" s="2">
        <f>ステ計算型!$I$27</f>
        <v>1.1000000000000001</v>
      </c>
      <c r="U375" s="2">
        <f>ステ計算型!$J$29</f>
        <v>2</v>
      </c>
      <c r="V375" s="2">
        <f>ステ計算型!$F$32</f>
        <v>0.75</v>
      </c>
      <c r="W375" s="2">
        <f>ステ計算型!$G$34</f>
        <v>1</v>
      </c>
      <c r="X375" s="7">
        <f t="shared" si="66"/>
        <v>34053.445800000001</v>
      </c>
      <c r="Y375" s="7">
        <f t="shared" si="63"/>
        <v>400</v>
      </c>
      <c r="Z375" s="7">
        <f t="shared" si="64"/>
        <v>1</v>
      </c>
      <c r="AA375" s="38">
        <f>IF(L375&lt;ステ計算型!$A$20,0,1)</f>
        <v>0</v>
      </c>
      <c r="AB375" s="3">
        <f t="shared" si="65"/>
        <v>0</v>
      </c>
    </row>
    <row r="376" spans="1:28" ht="8.25" customHeight="1">
      <c r="A376" s="3">
        <f t="shared" si="61"/>
        <v>0</v>
      </c>
      <c r="B376" s="2">
        <f>ステ計算型!$B$2</f>
        <v>101</v>
      </c>
      <c r="C376" s="7">
        <f>VLOOKUP(B376,ポイント!$A$1:$D$43,4,FALSE)</f>
        <v>571</v>
      </c>
      <c r="D376" s="2">
        <f>ステ計算型!$B$4</f>
        <v>5</v>
      </c>
      <c r="E376" s="2">
        <f>ステ計算型!$B$6</f>
        <v>127</v>
      </c>
      <c r="F376" s="2">
        <f>ステ計算型!$B$8</f>
        <v>10</v>
      </c>
      <c r="G376" s="2">
        <f>ステ計算型!$B$9</f>
        <v>82</v>
      </c>
      <c r="H376" s="7">
        <f t="shared" si="67"/>
        <v>347</v>
      </c>
      <c r="I376" s="5">
        <f>ステ計算型!$K$3</f>
        <v>7390</v>
      </c>
      <c r="J376" s="5">
        <f>ステ計算型!$N$3</f>
        <v>66</v>
      </c>
      <c r="K376" s="5">
        <v>377</v>
      </c>
      <c r="L376" s="7">
        <f t="shared" si="68"/>
        <v>-30</v>
      </c>
      <c r="M376" s="7">
        <f t="shared" si="62"/>
        <v>5143</v>
      </c>
      <c r="N376" s="2">
        <v>1</v>
      </c>
      <c r="O376" s="7">
        <f t="shared" si="60"/>
        <v>0.63</v>
      </c>
      <c r="P376" s="7">
        <f t="shared" si="69"/>
        <v>0.5</v>
      </c>
      <c r="Q376" s="2">
        <f>ステ計算型!$I$29</f>
        <v>1</v>
      </c>
      <c r="R376" s="2">
        <f>ステ計算型!$E$33</f>
        <v>0.2</v>
      </c>
      <c r="S376" s="7">
        <f t="shared" si="70"/>
        <v>6.9239999999999995</v>
      </c>
      <c r="T376" s="2">
        <f>ステ計算型!$I$27</f>
        <v>1.1000000000000001</v>
      </c>
      <c r="U376" s="2">
        <f>ステ計算型!$J$29</f>
        <v>2</v>
      </c>
      <c r="V376" s="2">
        <f>ステ計算型!$F$32</f>
        <v>0.75</v>
      </c>
      <c r="W376" s="2">
        <f>ステ計算型!$G$34</f>
        <v>1</v>
      </c>
      <c r="X376" s="7">
        <f t="shared" si="66"/>
        <v>33621.333899999998</v>
      </c>
      <c r="Y376" s="7">
        <f t="shared" si="63"/>
        <v>400</v>
      </c>
      <c r="Z376" s="7">
        <f t="shared" si="64"/>
        <v>1</v>
      </c>
      <c r="AA376" s="38">
        <f>IF(L376&lt;ステ計算型!$A$20,0,1)</f>
        <v>0</v>
      </c>
      <c r="AB376" s="3">
        <f t="shared" si="65"/>
        <v>0</v>
      </c>
    </row>
    <row r="377" spans="1:28" ht="8.25" customHeight="1">
      <c r="A377" s="3">
        <f t="shared" si="61"/>
        <v>0</v>
      </c>
      <c r="B377" s="2">
        <f>ステ計算型!$B$2</f>
        <v>101</v>
      </c>
      <c r="C377" s="7">
        <f>VLOOKUP(B377,ポイント!$A$1:$D$43,4,FALSE)</f>
        <v>571</v>
      </c>
      <c r="D377" s="2">
        <f>ステ計算型!$B$4</f>
        <v>5</v>
      </c>
      <c r="E377" s="2">
        <f>ステ計算型!$B$6</f>
        <v>127</v>
      </c>
      <c r="F377" s="2">
        <f>ステ計算型!$B$8</f>
        <v>10</v>
      </c>
      <c r="G377" s="2">
        <f>ステ計算型!$B$9</f>
        <v>82</v>
      </c>
      <c r="H377" s="7">
        <f t="shared" si="67"/>
        <v>347</v>
      </c>
      <c r="I377" s="5">
        <f>ステ計算型!$K$3</f>
        <v>7390</v>
      </c>
      <c r="J377" s="5">
        <f>ステ計算型!$N$3</f>
        <v>66</v>
      </c>
      <c r="K377" s="5">
        <v>378</v>
      </c>
      <c r="L377" s="7">
        <f t="shared" si="68"/>
        <v>-31</v>
      </c>
      <c r="M377" s="7">
        <f t="shared" si="62"/>
        <v>5068</v>
      </c>
      <c r="N377" s="2">
        <v>1</v>
      </c>
      <c r="O377" s="7">
        <f t="shared" si="60"/>
        <v>0.64</v>
      </c>
      <c r="P377" s="7">
        <f t="shared" si="69"/>
        <v>0.5</v>
      </c>
      <c r="Q377" s="2">
        <f>ステ計算型!$I$29</f>
        <v>1</v>
      </c>
      <c r="R377" s="2">
        <f>ステ計算型!$E$33</f>
        <v>0.2</v>
      </c>
      <c r="S377" s="7">
        <f t="shared" si="70"/>
        <v>6.9359999999999991</v>
      </c>
      <c r="T377" s="2">
        <f>ステ計算型!$I$27</f>
        <v>1.1000000000000001</v>
      </c>
      <c r="U377" s="2">
        <f>ステ計算型!$J$29</f>
        <v>2</v>
      </c>
      <c r="V377" s="2">
        <f>ステ計算型!$F$32</f>
        <v>0.75</v>
      </c>
      <c r="W377" s="2">
        <f>ステ計算型!$G$34</f>
        <v>1</v>
      </c>
      <c r="X377" s="7">
        <f t="shared" si="66"/>
        <v>33181.209600000002</v>
      </c>
      <c r="Y377" s="7">
        <f t="shared" si="63"/>
        <v>400</v>
      </c>
      <c r="Z377" s="7">
        <f t="shared" si="64"/>
        <v>1</v>
      </c>
      <c r="AA377" s="38">
        <f>IF(L377&lt;ステ計算型!$A$20,0,1)</f>
        <v>0</v>
      </c>
      <c r="AB377" s="3">
        <f t="shared" si="65"/>
        <v>0</v>
      </c>
    </row>
    <row r="378" spans="1:28" ht="8.25" customHeight="1">
      <c r="A378" s="3">
        <f t="shared" si="61"/>
        <v>0</v>
      </c>
      <c r="B378" s="2">
        <f>ステ計算型!$B$2</f>
        <v>101</v>
      </c>
      <c r="C378" s="7">
        <f>VLOOKUP(B378,ポイント!$A$1:$D$43,4,FALSE)</f>
        <v>571</v>
      </c>
      <c r="D378" s="2">
        <f>ステ計算型!$B$4</f>
        <v>5</v>
      </c>
      <c r="E378" s="2">
        <f>ステ計算型!$B$6</f>
        <v>127</v>
      </c>
      <c r="F378" s="2">
        <f>ステ計算型!$B$8</f>
        <v>10</v>
      </c>
      <c r="G378" s="2">
        <f>ステ計算型!$B$9</f>
        <v>82</v>
      </c>
      <c r="H378" s="7">
        <f t="shared" si="67"/>
        <v>347</v>
      </c>
      <c r="I378" s="5">
        <f>ステ計算型!$K$3</f>
        <v>7390</v>
      </c>
      <c r="J378" s="5">
        <f>ステ計算型!$N$3</f>
        <v>66</v>
      </c>
      <c r="K378" s="5">
        <v>379</v>
      </c>
      <c r="L378" s="7">
        <f t="shared" si="68"/>
        <v>-32</v>
      </c>
      <c r="M378" s="7">
        <f t="shared" si="62"/>
        <v>4993</v>
      </c>
      <c r="N378" s="2">
        <v>1</v>
      </c>
      <c r="O378" s="7">
        <f t="shared" si="60"/>
        <v>0.64</v>
      </c>
      <c r="P378" s="7">
        <f t="shared" si="69"/>
        <v>0.5</v>
      </c>
      <c r="Q378" s="2">
        <f>ステ計算型!$I$29</f>
        <v>1</v>
      </c>
      <c r="R378" s="2">
        <f>ステ計算型!$E$33</f>
        <v>0.2</v>
      </c>
      <c r="S378" s="7">
        <f t="shared" si="70"/>
        <v>6.9479999999999995</v>
      </c>
      <c r="T378" s="2">
        <f>ステ計算型!$I$27</f>
        <v>1.1000000000000001</v>
      </c>
      <c r="U378" s="2">
        <f>ステ計算型!$J$29</f>
        <v>2</v>
      </c>
      <c r="V378" s="2">
        <f>ステ計算型!$F$32</f>
        <v>0.75</v>
      </c>
      <c r="W378" s="2">
        <f>ステ計算型!$G$34</f>
        <v>1</v>
      </c>
      <c r="X378" s="7">
        <f t="shared" si="66"/>
        <v>32739.600300000006</v>
      </c>
      <c r="Y378" s="7">
        <f t="shared" si="63"/>
        <v>400</v>
      </c>
      <c r="Z378" s="7">
        <f t="shared" si="64"/>
        <v>1</v>
      </c>
      <c r="AA378" s="38">
        <f>IF(L378&lt;ステ計算型!$A$20,0,1)</f>
        <v>0</v>
      </c>
      <c r="AB378" s="3">
        <f t="shared" si="65"/>
        <v>0</v>
      </c>
    </row>
    <row r="379" spans="1:28" ht="8.25" customHeight="1">
      <c r="A379" s="3">
        <f t="shared" si="61"/>
        <v>0</v>
      </c>
      <c r="B379" s="2">
        <f>ステ計算型!$B$2</f>
        <v>101</v>
      </c>
      <c r="C379" s="7">
        <f>VLOOKUP(B379,ポイント!$A$1:$D$43,4,FALSE)</f>
        <v>571</v>
      </c>
      <c r="D379" s="2">
        <f>ステ計算型!$B$4</f>
        <v>5</v>
      </c>
      <c r="E379" s="2">
        <f>ステ計算型!$B$6</f>
        <v>127</v>
      </c>
      <c r="F379" s="2">
        <f>ステ計算型!$B$8</f>
        <v>10</v>
      </c>
      <c r="G379" s="2">
        <f>ステ計算型!$B$9</f>
        <v>82</v>
      </c>
      <c r="H379" s="7">
        <f t="shared" si="67"/>
        <v>347</v>
      </c>
      <c r="I379" s="5">
        <f>ステ計算型!$K$3</f>
        <v>7390</v>
      </c>
      <c r="J379" s="5">
        <f>ステ計算型!$N$3</f>
        <v>66</v>
      </c>
      <c r="K379" s="5">
        <v>380</v>
      </c>
      <c r="L379" s="7">
        <f t="shared" si="68"/>
        <v>-33</v>
      </c>
      <c r="M379" s="7">
        <f t="shared" si="62"/>
        <v>4918</v>
      </c>
      <c r="N379" s="2">
        <v>1</v>
      </c>
      <c r="O379" s="7">
        <f t="shared" si="60"/>
        <v>0.64</v>
      </c>
      <c r="P379" s="7">
        <f t="shared" si="69"/>
        <v>0.5</v>
      </c>
      <c r="Q379" s="2">
        <f>ステ計算型!$I$29</f>
        <v>1</v>
      </c>
      <c r="R379" s="2">
        <f>ステ計算型!$E$33</f>
        <v>0.2</v>
      </c>
      <c r="S379" s="7">
        <f t="shared" si="70"/>
        <v>6.96</v>
      </c>
      <c r="T379" s="2">
        <f>ステ計算型!$I$27</f>
        <v>1.1000000000000001</v>
      </c>
      <c r="U379" s="2">
        <f>ステ計算型!$J$29</f>
        <v>2</v>
      </c>
      <c r="V379" s="2">
        <f>ステ計算型!$F$32</f>
        <v>0.75</v>
      </c>
      <c r="W379" s="2">
        <f>ステ計算型!$G$34</f>
        <v>1</v>
      </c>
      <c r="X379" s="7">
        <f t="shared" si="66"/>
        <v>32296.506000000008</v>
      </c>
      <c r="Y379" s="7">
        <f t="shared" si="63"/>
        <v>400</v>
      </c>
      <c r="Z379" s="7">
        <f t="shared" si="64"/>
        <v>1</v>
      </c>
      <c r="AA379" s="38">
        <f>IF(L379&lt;ステ計算型!$A$20,0,1)</f>
        <v>0</v>
      </c>
      <c r="AB379" s="3">
        <f t="shared" si="65"/>
        <v>0</v>
      </c>
    </row>
    <row r="380" spans="1:28" ht="8.25" customHeight="1">
      <c r="A380" s="3">
        <f t="shared" si="61"/>
        <v>0</v>
      </c>
      <c r="B380" s="2">
        <f>ステ計算型!$B$2</f>
        <v>101</v>
      </c>
      <c r="C380" s="7">
        <f>VLOOKUP(B380,ポイント!$A$1:$D$43,4,FALSE)</f>
        <v>571</v>
      </c>
      <c r="D380" s="2">
        <f>ステ計算型!$B$4</f>
        <v>5</v>
      </c>
      <c r="E380" s="2">
        <f>ステ計算型!$B$6</f>
        <v>127</v>
      </c>
      <c r="F380" s="2">
        <f>ステ計算型!$B$8</f>
        <v>10</v>
      </c>
      <c r="G380" s="2">
        <f>ステ計算型!$B$9</f>
        <v>82</v>
      </c>
      <c r="H380" s="7">
        <f t="shared" si="67"/>
        <v>347</v>
      </c>
      <c r="I380" s="5">
        <f>ステ計算型!$K$3</f>
        <v>7390</v>
      </c>
      <c r="J380" s="5">
        <f>ステ計算型!$N$3</f>
        <v>66</v>
      </c>
      <c r="K380" s="5">
        <v>381</v>
      </c>
      <c r="L380" s="7">
        <f t="shared" si="68"/>
        <v>-34</v>
      </c>
      <c r="M380" s="7">
        <f t="shared" si="62"/>
        <v>4843</v>
      </c>
      <c r="N380" s="2">
        <v>1</v>
      </c>
      <c r="O380" s="7">
        <f t="shared" si="60"/>
        <v>0.64</v>
      </c>
      <c r="P380" s="7">
        <f t="shared" si="69"/>
        <v>0.5</v>
      </c>
      <c r="Q380" s="2">
        <f>ステ計算型!$I$29</f>
        <v>1</v>
      </c>
      <c r="R380" s="2">
        <f>ステ計算型!$E$33</f>
        <v>0.2</v>
      </c>
      <c r="S380" s="7">
        <f t="shared" si="70"/>
        <v>6.9720000000000004</v>
      </c>
      <c r="T380" s="2">
        <f>ステ計算型!$I$27</f>
        <v>1.1000000000000001</v>
      </c>
      <c r="U380" s="2">
        <f>ステ計算型!$J$29</f>
        <v>2</v>
      </c>
      <c r="V380" s="2">
        <f>ステ計算型!$F$32</f>
        <v>0.75</v>
      </c>
      <c r="W380" s="2">
        <f>ステ計算型!$G$34</f>
        <v>1</v>
      </c>
      <c r="X380" s="7">
        <f t="shared" si="66"/>
        <v>31851.926700000011</v>
      </c>
      <c r="Y380" s="7">
        <f t="shared" si="63"/>
        <v>400</v>
      </c>
      <c r="Z380" s="7">
        <f t="shared" si="64"/>
        <v>1</v>
      </c>
      <c r="AA380" s="38">
        <f>IF(L380&lt;ステ計算型!$A$20,0,1)</f>
        <v>0</v>
      </c>
      <c r="AB380" s="3">
        <f t="shared" si="65"/>
        <v>0</v>
      </c>
    </row>
    <row r="381" spans="1:28" ht="8.25" customHeight="1">
      <c r="A381" s="3">
        <f t="shared" si="61"/>
        <v>0</v>
      </c>
      <c r="B381" s="2">
        <f>ステ計算型!$B$2</f>
        <v>101</v>
      </c>
      <c r="C381" s="7">
        <f>VLOOKUP(B381,ポイント!$A$1:$D$43,4,FALSE)</f>
        <v>571</v>
      </c>
      <c r="D381" s="2">
        <f>ステ計算型!$B$4</f>
        <v>5</v>
      </c>
      <c r="E381" s="2">
        <f>ステ計算型!$B$6</f>
        <v>127</v>
      </c>
      <c r="F381" s="2">
        <f>ステ計算型!$B$8</f>
        <v>10</v>
      </c>
      <c r="G381" s="2">
        <f>ステ計算型!$B$9</f>
        <v>82</v>
      </c>
      <c r="H381" s="7">
        <f t="shared" si="67"/>
        <v>347</v>
      </c>
      <c r="I381" s="5">
        <f>ステ計算型!$K$3</f>
        <v>7390</v>
      </c>
      <c r="J381" s="5">
        <f>ステ計算型!$N$3</f>
        <v>66</v>
      </c>
      <c r="K381" s="5">
        <v>382</v>
      </c>
      <c r="L381" s="7">
        <f t="shared" si="68"/>
        <v>-35</v>
      </c>
      <c r="M381" s="7">
        <f t="shared" si="62"/>
        <v>4768</v>
      </c>
      <c r="N381" s="2">
        <v>1</v>
      </c>
      <c r="O381" s="7">
        <f t="shared" si="60"/>
        <v>0.64</v>
      </c>
      <c r="P381" s="7">
        <f t="shared" si="69"/>
        <v>0.5</v>
      </c>
      <c r="Q381" s="2">
        <f>ステ計算型!$I$29</f>
        <v>1</v>
      </c>
      <c r="R381" s="2">
        <f>ステ計算型!$E$33</f>
        <v>0.2</v>
      </c>
      <c r="S381" s="7">
        <f t="shared" si="70"/>
        <v>6.984</v>
      </c>
      <c r="T381" s="2">
        <f>ステ計算型!$I$27</f>
        <v>1.1000000000000001</v>
      </c>
      <c r="U381" s="2">
        <f>ステ計算型!$J$29</f>
        <v>2</v>
      </c>
      <c r="V381" s="2">
        <f>ステ計算型!$F$32</f>
        <v>0.75</v>
      </c>
      <c r="W381" s="2">
        <f>ステ計算型!$G$34</f>
        <v>1</v>
      </c>
      <c r="X381" s="7">
        <f t="shared" si="66"/>
        <v>31405.862400000002</v>
      </c>
      <c r="Y381" s="7">
        <f t="shared" si="63"/>
        <v>400</v>
      </c>
      <c r="Z381" s="7">
        <f t="shared" si="64"/>
        <v>1</v>
      </c>
      <c r="AA381" s="38">
        <f>IF(L381&lt;ステ計算型!$A$20,0,1)</f>
        <v>0</v>
      </c>
      <c r="AB381" s="3">
        <f t="shared" si="65"/>
        <v>0</v>
      </c>
    </row>
    <row r="382" spans="1:28" ht="8.25" customHeight="1">
      <c r="A382" s="3">
        <f t="shared" si="61"/>
        <v>0</v>
      </c>
      <c r="B382" s="2">
        <f>ステ計算型!$B$2</f>
        <v>101</v>
      </c>
      <c r="C382" s="7">
        <f>VLOOKUP(B382,ポイント!$A$1:$D$43,4,FALSE)</f>
        <v>571</v>
      </c>
      <c r="D382" s="2">
        <f>ステ計算型!$B$4</f>
        <v>5</v>
      </c>
      <c r="E382" s="2">
        <f>ステ計算型!$B$6</f>
        <v>127</v>
      </c>
      <c r="F382" s="2">
        <f>ステ計算型!$B$8</f>
        <v>10</v>
      </c>
      <c r="G382" s="2">
        <f>ステ計算型!$B$9</f>
        <v>82</v>
      </c>
      <c r="H382" s="7">
        <f t="shared" si="67"/>
        <v>347</v>
      </c>
      <c r="I382" s="5">
        <f>ステ計算型!$K$3</f>
        <v>7390</v>
      </c>
      <c r="J382" s="5">
        <f>ステ計算型!$N$3</f>
        <v>66</v>
      </c>
      <c r="K382" s="5">
        <v>383</v>
      </c>
      <c r="L382" s="7">
        <f t="shared" si="68"/>
        <v>-36</v>
      </c>
      <c r="M382" s="7">
        <f t="shared" si="62"/>
        <v>4693</v>
      </c>
      <c r="N382" s="2">
        <v>1</v>
      </c>
      <c r="O382" s="7">
        <f t="shared" si="60"/>
        <v>0.64</v>
      </c>
      <c r="P382" s="7">
        <f t="shared" si="69"/>
        <v>0.5</v>
      </c>
      <c r="Q382" s="2">
        <f>ステ計算型!$I$29</f>
        <v>1</v>
      </c>
      <c r="R382" s="2">
        <f>ステ計算型!$E$33</f>
        <v>0.2</v>
      </c>
      <c r="S382" s="7">
        <f t="shared" si="70"/>
        <v>6.9959999999999996</v>
      </c>
      <c r="T382" s="2">
        <f>ステ計算型!$I$27</f>
        <v>1.1000000000000001</v>
      </c>
      <c r="U382" s="2">
        <f>ステ計算型!$J$29</f>
        <v>2</v>
      </c>
      <c r="V382" s="2">
        <f>ステ計算型!$F$32</f>
        <v>0.75</v>
      </c>
      <c r="W382" s="2">
        <f>ステ計算型!$G$34</f>
        <v>1</v>
      </c>
      <c r="X382" s="7">
        <f t="shared" si="66"/>
        <v>30958.313099999999</v>
      </c>
      <c r="Y382" s="7">
        <f t="shared" si="63"/>
        <v>400</v>
      </c>
      <c r="Z382" s="7">
        <f t="shared" si="64"/>
        <v>1</v>
      </c>
      <c r="AA382" s="38">
        <f>IF(L382&lt;ステ計算型!$A$20,0,1)</f>
        <v>0</v>
      </c>
      <c r="AB382" s="3">
        <f t="shared" si="65"/>
        <v>0</v>
      </c>
    </row>
    <row r="383" spans="1:28" ht="8.25" customHeight="1">
      <c r="A383" s="3">
        <f t="shared" si="61"/>
        <v>0</v>
      </c>
      <c r="B383" s="2">
        <f>ステ計算型!$B$2</f>
        <v>101</v>
      </c>
      <c r="C383" s="7">
        <f>VLOOKUP(B383,ポイント!$A$1:$D$43,4,FALSE)</f>
        <v>571</v>
      </c>
      <c r="D383" s="2">
        <f>ステ計算型!$B$4</f>
        <v>5</v>
      </c>
      <c r="E383" s="2">
        <f>ステ計算型!$B$6</f>
        <v>127</v>
      </c>
      <c r="F383" s="2">
        <f>ステ計算型!$B$8</f>
        <v>10</v>
      </c>
      <c r="G383" s="2">
        <f>ステ計算型!$B$9</f>
        <v>82</v>
      </c>
      <c r="H383" s="7">
        <f t="shared" si="67"/>
        <v>347</v>
      </c>
      <c r="I383" s="5">
        <f>ステ計算型!$K$3</f>
        <v>7390</v>
      </c>
      <c r="J383" s="5">
        <f>ステ計算型!$N$3</f>
        <v>66</v>
      </c>
      <c r="K383" s="5">
        <v>384</v>
      </c>
      <c r="L383" s="7">
        <f t="shared" si="68"/>
        <v>-37</v>
      </c>
      <c r="M383" s="7">
        <f t="shared" si="62"/>
        <v>4618</v>
      </c>
      <c r="N383" s="2">
        <v>1</v>
      </c>
      <c r="O383" s="7">
        <f t="shared" si="60"/>
        <v>0.64</v>
      </c>
      <c r="P383" s="7">
        <f t="shared" si="69"/>
        <v>0.5</v>
      </c>
      <c r="Q383" s="2">
        <f>ステ計算型!$I$29</f>
        <v>1</v>
      </c>
      <c r="R383" s="2">
        <f>ステ計算型!$E$33</f>
        <v>0.2</v>
      </c>
      <c r="S383" s="7">
        <f t="shared" si="70"/>
        <v>7.008</v>
      </c>
      <c r="T383" s="2">
        <f>ステ計算型!$I$27</f>
        <v>1.1000000000000001</v>
      </c>
      <c r="U383" s="2">
        <f>ステ計算型!$J$29</f>
        <v>2</v>
      </c>
      <c r="V383" s="2">
        <f>ステ計算型!$F$32</f>
        <v>0.75</v>
      </c>
      <c r="W383" s="2">
        <f>ステ計算型!$G$34</f>
        <v>1</v>
      </c>
      <c r="X383" s="7">
        <f t="shared" si="66"/>
        <v>30509.2788</v>
      </c>
      <c r="Y383" s="7">
        <f t="shared" si="63"/>
        <v>400</v>
      </c>
      <c r="Z383" s="7">
        <f t="shared" si="64"/>
        <v>1</v>
      </c>
      <c r="AA383" s="38">
        <f>IF(L383&lt;ステ計算型!$A$20,0,1)</f>
        <v>0</v>
      </c>
      <c r="AB383" s="3">
        <f t="shared" si="65"/>
        <v>0</v>
      </c>
    </row>
    <row r="384" spans="1:28" ht="8.25" customHeight="1">
      <c r="A384" s="3">
        <f t="shared" si="61"/>
        <v>0</v>
      </c>
      <c r="B384" s="2">
        <f>ステ計算型!$B$2</f>
        <v>101</v>
      </c>
      <c r="C384" s="7">
        <f>VLOOKUP(B384,ポイント!$A$1:$D$43,4,FALSE)</f>
        <v>571</v>
      </c>
      <c r="D384" s="2">
        <f>ステ計算型!$B$4</f>
        <v>5</v>
      </c>
      <c r="E384" s="2">
        <f>ステ計算型!$B$6</f>
        <v>127</v>
      </c>
      <c r="F384" s="2">
        <f>ステ計算型!$B$8</f>
        <v>10</v>
      </c>
      <c r="G384" s="2">
        <f>ステ計算型!$B$9</f>
        <v>82</v>
      </c>
      <c r="H384" s="7">
        <f t="shared" si="67"/>
        <v>347</v>
      </c>
      <c r="I384" s="5">
        <f>ステ計算型!$K$3</f>
        <v>7390</v>
      </c>
      <c r="J384" s="5">
        <f>ステ計算型!$N$3</f>
        <v>66</v>
      </c>
      <c r="K384" s="5">
        <v>385</v>
      </c>
      <c r="L384" s="7">
        <f t="shared" si="68"/>
        <v>-38</v>
      </c>
      <c r="M384" s="7">
        <f t="shared" si="62"/>
        <v>4543</v>
      </c>
      <c r="N384" s="2">
        <v>1</v>
      </c>
      <c r="O384" s="7">
        <f t="shared" si="60"/>
        <v>0.65</v>
      </c>
      <c r="P384" s="7">
        <f t="shared" si="69"/>
        <v>0.5</v>
      </c>
      <c r="Q384" s="2">
        <f>ステ計算型!$I$29</f>
        <v>1</v>
      </c>
      <c r="R384" s="2">
        <f>ステ計算型!$E$33</f>
        <v>0.2</v>
      </c>
      <c r="S384" s="7">
        <f t="shared" si="70"/>
        <v>7.02</v>
      </c>
      <c r="T384" s="2">
        <f>ステ計算型!$I$27</f>
        <v>1.1000000000000001</v>
      </c>
      <c r="U384" s="2">
        <f>ステ計算型!$J$29</f>
        <v>2</v>
      </c>
      <c r="V384" s="2">
        <f>ステ計算型!$F$32</f>
        <v>0.75</v>
      </c>
      <c r="W384" s="2">
        <f>ステ計算型!$G$34</f>
        <v>1</v>
      </c>
      <c r="X384" s="7">
        <f t="shared" si="66"/>
        <v>30058.759500000004</v>
      </c>
      <c r="Y384" s="7">
        <f t="shared" si="63"/>
        <v>400</v>
      </c>
      <c r="Z384" s="7">
        <f t="shared" si="64"/>
        <v>1</v>
      </c>
      <c r="AA384" s="38">
        <f>IF(L384&lt;ステ計算型!$A$20,0,1)</f>
        <v>0</v>
      </c>
      <c r="AB384" s="3">
        <f t="shared" si="65"/>
        <v>0</v>
      </c>
    </row>
    <row r="385" spans="1:28" ht="8.25" customHeight="1">
      <c r="A385" s="3">
        <f t="shared" si="61"/>
        <v>0</v>
      </c>
      <c r="B385" s="2">
        <f>ステ計算型!$B$2</f>
        <v>101</v>
      </c>
      <c r="C385" s="7">
        <f>VLOOKUP(B385,ポイント!$A$1:$D$43,4,FALSE)</f>
        <v>571</v>
      </c>
      <c r="D385" s="2">
        <f>ステ計算型!$B$4</f>
        <v>5</v>
      </c>
      <c r="E385" s="2">
        <f>ステ計算型!$B$6</f>
        <v>127</v>
      </c>
      <c r="F385" s="2">
        <f>ステ計算型!$B$8</f>
        <v>10</v>
      </c>
      <c r="G385" s="2">
        <f>ステ計算型!$B$9</f>
        <v>82</v>
      </c>
      <c r="H385" s="7">
        <f t="shared" si="67"/>
        <v>347</v>
      </c>
      <c r="I385" s="5">
        <f>ステ計算型!$K$3</f>
        <v>7390</v>
      </c>
      <c r="J385" s="5">
        <f>ステ計算型!$N$3</f>
        <v>66</v>
      </c>
      <c r="K385" s="5">
        <v>386</v>
      </c>
      <c r="L385" s="7">
        <f t="shared" si="68"/>
        <v>-39</v>
      </c>
      <c r="M385" s="7">
        <f t="shared" si="62"/>
        <v>4468</v>
      </c>
      <c r="N385" s="2">
        <v>1</v>
      </c>
      <c r="O385" s="7">
        <f t="shared" si="60"/>
        <v>0.65</v>
      </c>
      <c r="P385" s="7">
        <f t="shared" si="69"/>
        <v>0.5</v>
      </c>
      <c r="Q385" s="2">
        <f>ステ計算型!$I$29</f>
        <v>1</v>
      </c>
      <c r="R385" s="2">
        <f>ステ計算型!$E$33</f>
        <v>0.2</v>
      </c>
      <c r="S385" s="7">
        <f t="shared" si="70"/>
        <v>7.0319999999999991</v>
      </c>
      <c r="T385" s="2">
        <f>ステ計算型!$I$27</f>
        <v>1.1000000000000001</v>
      </c>
      <c r="U385" s="2">
        <f>ステ計算型!$J$29</f>
        <v>2</v>
      </c>
      <c r="V385" s="2">
        <f>ステ計算型!$F$32</f>
        <v>0.75</v>
      </c>
      <c r="W385" s="2">
        <f>ステ計算型!$G$34</f>
        <v>1</v>
      </c>
      <c r="X385" s="7">
        <f t="shared" si="66"/>
        <v>29606.755200000007</v>
      </c>
      <c r="Y385" s="7">
        <f t="shared" si="63"/>
        <v>400</v>
      </c>
      <c r="Z385" s="7">
        <f t="shared" si="64"/>
        <v>1</v>
      </c>
      <c r="AA385" s="38">
        <f>IF(L385&lt;ステ計算型!$A$20,0,1)</f>
        <v>0</v>
      </c>
      <c r="AB385" s="3">
        <f t="shared" si="65"/>
        <v>0</v>
      </c>
    </row>
    <row r="386" spans="1:28" ht="8.25" customHeight="1">
      <c r="A386" s="3">
        <f t="shared" si="61"/>
        <v>0</v>
      </c>
      <c r="B386" s="2">
        <f>ステ計算型!$B$2</f>
        <v>101</v>
      </c>
      <c r="C386" s="7">
        <f>VLOOKUP(B386,ポイント!$A$1:$D$43,4,FALSE)</f>
        <v>571</v>
      </c>
      <c r="D386" s="2">
        <f>ステ計算型!$B$4</f>
        <v>5</v>
      </c>
      <c r="E386" s="2">
        <f>ステ計算型!$B$6</f>
        <v>127</v>
      </c>
      <c r="F386" s="2">
        <f>ステ計算型!$B$8</f>
        <v>10</v>
      </c>
      <c r="G386" s="2">
        <f>ステ計算型!$B$9</f>
        <v>82</v>
      </c>
      <c r="H386" s="7">
        <f t="shared" si="67"/>
        <v>347</v>
      </c>
      <c r="I386" s="5">
        <f>ステ計算型!$K$3</f>
        <v>7390</v>
      </c>
      <c r="J386" s="5">
        <f>ステ計算型!$N$3</f>
        <v>66</v>
      </c>
      <c r="K386" s="5">
        <v>387</v>
      </c>
      <c r="L386" s="7">
        <f t="shared" si="68"/>
        <v>-40</v>
      </c>
      <c r="M386" s="7">
        <f t="shared" si="62"/>
        <v>4394</v>
      </c>
      <c r="N386" s="2">
        <v>1</v>
      </c>
      <c r="O386" s="7">
        <f t="shared" si="60"/>
        <v>0.65</v>
      </c>
      <c r="P386" s="7">
        <f t="shared" si="69"/>
        <v>0.5</v>
      </c>
      <c r="Q386" s="2">
        <f>ステ計算型!$I$29</f>
        <v>1</v>
      </c>
      <c r="R386" s="2">
        <f>ステ計算型!$E$33</f>
        <v>0.2</v>
      </c>
      <c r="S386" s="7">
        <f t="shared" si="70"/>
        <v>7.0439999999999996</v>
      </c>
      <c r="T386" s="2">
        <f>ステ計算型!$I$27</f>
        <v>1.1000000000000001</v>
      </c>
      <c r="U386" s="2">
        <f>ステ計算型!$J$29</f>
        <v>2</v>
      </c>
      <c r="V386" s="2">
        <f>ステ計算型!$F$32</f>
        <v>0.75</v>
      </c>
      <c r="W386" s="2">
        <f>ステ計算型!$G$34</f>
        <v>1</v>
      </c>
      <c r="X386" s="7">
        <f t="shared" si="66"/>
        <v>29159.902200000004</v>
      </c>
      <c r="Y386" s="7">
        <f t="shared" si="63"/>
        <v>400</v>
      </c>
      <c r="Z386" s="7">
        <f t="shared" si="64"/>
        <v>1</v>
      </c>
      <c r="AA386" s="38">
        <f>IF(L386&lt;ステ計算型!$A$20,0,1)</f>
        <v>0</v>
      </c>
      <c r="AB386" s="3">
        <f t="shared" si="65"/>
        <v>0</v>
      </c>
    </row>
    <row r="387" spans="1:28" ht="8.25" customHeight="1">
      <c r="A387" s="3">
        <f t="shared" si="61"/>
        <v>0</v>
      </c>
      <c r="B387" s="2">
        <f>ステ計算型!$B$2</f>
        <v>101</v>
      </c>
      <c r="C387" s="7">
        <f>VLOOKUP(B387,ポイント!$A$1:$D$43,4,FALSE)</f>
        <v>571</v>
      </c>
      <c r="D387" s="2">
        <f>ステ計算型!$B$4</f>
        <v>5</v>
      </c>
      <c r="E387" s="2">
        <f>ステ計算型!$B$6</f>
        <v>127</v>
      </c>
      <c r="F387" s="2">
        <f>ステ計算型!$B$8</f>
        <v>10</v>
      </c>
      <c r="G387" s="2">
        <f>ステ計算型!$B$9</f>
        <v>82</v>
      </c>
      <c r="H387" s="7">
        <f t="shared" si="67"/>
        <v>347</v>
      </c>
      <c r="I387" s="5">
        <f>ステ計算型!$K$3</f>
        <v>7390</v>
      </c>
      <c r="J387" s="5">
        <f>ステ計算型!$N$3</f>
        <v>66</v>
      </c>
      <c r="K387" s="5">
        <v>388</v>
      </c>
      <c r="L387" s="7">
        <f t="shared" si="68"/>
        <v>-41</v>
      </c>
      <c r="M387" s="7">
        <f t="shared" si="62"/>
        <v>4319</v>
      </c>
      <c r="N387" s="2">
        <v>1</v>
      </c>
      <c r="O387" s="7">
        <f t="shared" ref="O387:O398" si="71">ROUNDDOWN(((J387*(K387/100+1))/5)+1,0)/100*N387</f>
        <v>0.65</v>
      </c>
      <c r="P387" s="7">
        <f t="shared" si="69"/>
        <v>0.5</v>
      </c>
      <c r="Q387" s="2">
        <f>ステ計算型!$I$29</f>
        <v>1</v>
      </c>
      <c r="R387" s="2">
        <f>ステ計算型!$E$33</f>
        <v>0.2</v>
      </c>
      <c r="S387" s="7">
        <f t="shared" si="70"/>
        <v>7.056</v>
      </c>
      <c r="T387" s="2">
        <f>ステ計算型!$I$27</f>
        <v>1.1000000000000001</v>
      </c>
      <c r="U387" s="2">
        <f>ステ計算型!$J$29</f>
        <v>2</v>
      </c>
      <c r="V387" s="2">
        <f>ステ計算型!$F$32</f>
        <v>0.75</v>
      </c>
      <c r="W387" s="2">
        <f>ステ計算型!$G$34</f>
        <v>1</v>
      </c>
      <c r="X387" s="7">
        <f t="shared" si="66"/>
        <v>28704.937800000003</v>
      </c>
      <c r="Y387" s="7">
        <f t="shared" si="63"/>
        <v>400</v>
      </c>
      <c r="Z387" s="7">
        <f t="shared" si="64"/>
        <v>1</v>
      </c>
      <c r="AA387" s="38">
        <f>IF(L387&lt;ステ計算型!$A$20,0,1)</f>
        <v>0</v>
      </c>
      <c r="AB387" s="3">
        <f t="shared" si="65"/>
        <v>0</v>
      </c>
    </row>
    <row r="388" spans="1:28" ht="8.25" customHeight="1">
      <c r="A388" s="3">
        <f t="shared" si="61"/>
        <v>0</v>
      </c>
      <c r="B388" s="2">
        <f>ステ計算型!$B$2</f>
        <v>101</v>
      </c>
      <c r="C388" s="7">
        <f>VLOOKUP(B388,ポイント!$A$1:$D$43,4,FALSE)</f>
        <v>571</v>
      </c>
      <c r="D388" s="2">
        <f>ステ計算型!$B$4</f>
        <v>5</v>
      </c>
      <c r="E388" s="2">
        <f>ステ計算型!$B$6</f>
        <v>127</v>
      </c>
      <c r="F388" s="2">
        <f>ステ計算型!$B$8</f>
        <v>10</v>
      </c>
      <c r="G388" s="2">
        <f>ステ計算型!$B$9</f>
        <v>82</v>
      </c>
      <c r="H388" s="7">
        <f t="shared" si="67"/>
        <v>347</v>
      </c>
      <c r="I388" s="5">
        <f>ステ計算型!$K$3</f>
        <v>7390</v>
      </c>
      <c r="J388" s="5">
        <f>ステ計算型!$N$3</f>
        <v>66</v>
      </c>
      <c r="K388" s="5">
        <v>389</v>
      </c>
      <c r="L388" s="7">
        <f t="shared" si="68"/>
        <v>-42</v>
      </c>
      <c r="M388" s="7">
        <f t="shared" si="62"/>
        <v>4244</v>
      </c>
      <c r="N388" s="2">
        <v>1</v>
      </c>
      <c r="O388" s="7">
        <f t="shared" si="71"/>
        <v>0.65</v>
      </c>
      <c r="P388" s="7">
        <f t="shared" si="69"/>
        <v>0.5</v>
      </c>
      <c r="Q388" s="2">
        <f>ステ計算型!$I$29</f>
        <v>1</v>
      </c>
      <c r="R388" s="2">
        <f>ステ計算型!$E$33</f>
        <v>0.2</v>
      </c>
      <c r="S388" s="7">
        <f t="shared" si="70"/>
        <v>7.0680000000000005</v>
      </c>
      <c r="T388" s="2">
        <f>ステ計算型!$I$27</f>
        <v>1.1000000000000001</v>
      </c>
      <c r="U388" s="2">
        <f>ステ計算型!$J$29</f>
        <v>2</v>
      </c>
      <c r="V388" s="2">
        <f>ステ計算型!$F$32</f>
        <v>0.75</v>
      </c>
      <c r="W388" s="2">
        <f>ステ計算型!$G$34</f>
        <v>1</v>
      </c>
      <c r="X388" s="7">
        <f t="shared" si="66"/>
        <v>28248.488400000006</v>
      </c>
      <c r="Y388" s="7">
        <f t="shared" si="63"/>
        <v>400</v>
      </c>
      <c r="Z388" s="7">
        <f t="shared" si="64"/>
        <v>1</v>
      </c>
      <c r="AA388" s="38">
        <f>IF(L388&lt;ステ計算型!$A$20,0,1)</f>
        <v>0</v>
      </c>
      <c r="AB388" s="3">
        <f t="shared" si="65"/>
        <v>0</v>
      </c>
    </row>
    <row r="389" spans="1:28" ht="8.25" customHeight="1">
      <c r="A389" s="3">
        <f t="shared" ref="A389:A399" si="72">X389*Z389*AA389</f>
        <v>0</v>
      </c>
      <c r="B389" s="2">
        <f>ステ計算型!$B$2</f>
        <v>101</v>
      </c>
      <c r="C389" s="7">
        <f>VLOOKUP(B389,ポイント!$A$1:$D$43,4,FALSE)</f>
        <v>571</v>
      </c>
      <c r="D389" s="2">
        <f>ステ計算型!$B$4</f>
        <v>5</v>
      </c>
      <c r="E389" s="2">
        <f>ステ計算型!$B$6</f>
        <v>127</v>
      </c>
      <c r="F389" s="2">
        <f>ステ計算型!$B$8</f>
        <v>10</v>
      </c>
      <c r="G389" s="2">
        <f>ステ計算型!$B$9</f>
        <v>82</v>
      </c>
      <c r="H389" s="7">
        <f t="shared" si="67"/>
        <v>347</v>
      </c>
      <c r="I389" s="5">
        <f>ステ計算型!$K$3</f>
        <v>7390</v>
      </c>
      <c r="J389" s="5">
        <f>ステ計算型!$N$3</f>
        <v>66</v>
      </c>
      <c r="K389" s="5">
        <v>390</v>
      </c>
      <c r="L389" s="7">
        <f t="shared" si="68"/>
        <v>-43</v>
      </c>
      <c r="M389" s="7">
        <f t="shared" ref="M389:M399" si="73">ROUNDDOWN(I389*(L389/100+1)+L389,0)</f>
        <v>4169</v>
      </c>
      <c r="N389" s="2">
        <v>1</v>
      </c>
      <c r="O389" s="7">
        <f t="shared" si="71"/>
        <v>0.65</v>
      </c>
      <c r="P389" s="7">
        <f t="shared" si="69"/>
        <v>0.5</v>
      </c>
      <c r="Q389" s="2">
        <f>ステ計算型!$I$29</f>
        <v>1</v>
      </c>
      <c r="R389" s="2">
        <f>ステ計算型!$E$33</f>
        <v>0.2</v>
      </c>
      <c r="S389" s="7">
        <f t="shared" si="70"/>
        <v>7.08</v>
      </c>
      <c r="T389" s="2">
        <f>ステ計算型!$I$27</f>
        <v>1.1000000000000001</v>
      </c>
      <c r="U389" s="2">
        <f>ステ計算型!$J$29</f>
        <v>2</v>
      </c>
      <c r="V389" s="2">
        <f>ステ計算型!$F$32</f>
        <v>0.75</v>
      </c>
      <c r="W389" s="2">
        <f>ステ計算型!$G$34</f>
        <v>1</v>
      </c>
      <c r="X389" s="7">
        <f t="shared" si="66"/>
        <v>27790.554</v>
      </c>
      <c r="Y389" s="7">
        <f t="shared" ref="Y389:Y399" si="74">IF(B389&gt;99,400,350)</f>
        <v>400</v>
      </c>
      <c r="Z389" s="7">
        <f t="shared" ref="Z389:Z399" si="75">IF(L389&gt;Y389,0,1)</f>
        <v>1</v>
      </c>
      <c r="AA389" s="38">
        <f>IF(L389&lt;ステ計算型!$A$20,0,1)</f>
        <v>0</v>
      </c>
      <c r="AB389" s="3">
        <f t="shared" ref="AB389:AB399" si="76">X389*Z389*AA389</f>
        <v>0</v>
      </c>
    </row>
    <row r="390" spans="1:28" ht="8.25" customHeight="1">
      <c r="A390" s="3">
        <f t="shared" si="72"/>
        <v>0</v>
      </c>
      <c r="B390" s="2">
        <f>ステ計算型!$B$2</f>
        <v>101</v>
      </c>
      <c r="C390" s="7">
        <f>VLOOKUP(B390,ポイント!$A$1:$D$43,4,FALSE)</f>
        <v>571</v>
      </c>
      <c r="D390" s="2">
        <f>ステ計算型!$B$4</f>
        <v>5</v>
      </c>
      <c r="E390" s="2">
        <f>ステ計算型!$B$6</f>
        <v>127</v>
      </c>
      <c r="F390" s="2">
        <f>ステ計算型!$B$8</f>
        <v>10</v>
      </c>
      <c r="G390" s="2">
        <f>ステ計算型!$B$9</f>
        <v>82</v>
      </c>
      <c r="H390" s="7">
        <f t="shared" si="67"/>
        <v>347</v>
      </c>
      <c r="I390" s="5">
        <f>ステ計算型!$K$3</f>
        <v>7390</v>
      </c>
      <c r="J390" s="5">
        <f>ステ計算型!$N$3</f>
        <v>66</v>
      </c>
      <c r="K390" s="5">
        <v>391</v>
      </c>
      <c r="L390" s="7">
        <f t="shared" si="68"/>
        <v>-44</v>
      </c>
      <c r="M390" s="7">
        <f t="shared" si="73"/>
        <v>4094</v>
      </c>
      <c r="N390" s="2">
        <v>1</v>
      </c>
      <c r="O390" s="7">
        <f t="shared" si="71"/>
        <v>0.65</v>
      </c>
      <c r="P390" s="7">
        <f t="shared" si="69"/>
        <v>0.5</v>
      </c>
      <c r="Q390" s="2">
        <f>ステ計算型!$I$29</f>
        <v>1</v>
      </c>
      <c r="R390" s="2">
        <f>ステ計算型!$E$33</f>
        <v>0.2</v>
      </c>
      <c r="S390" s="7">
        <f t="shared" si="70"/>
        <v>7.0919999999999996</v>
      </c>
      <c r="T390" s="2">
        <f>ステ計算型!$I$27</f>
        <v>1.1000000000000001</v>
      </c>
      <c r="U390" s="2">
        <f>ステ計算型!$J$29</f>
        <v>2</v>
      </c>
      <c r="V390" s="2">
        <f>ステ計算型!$F$32</f>
        <v>0.75</v>
      </c>
      <c r="W390" s="2">
        <f>ステ計算型!$G$34</f>
        <v>1</v>
      </c>
      <c r="X390" s="7">
        <f t="shared" si="66"/>
        <v>27331.134599999998</v>
      </c>
      <c r="Y390" s="7">
        <f t="shared" si="74"/>
        <v>400</v>
      </c>
      <c r="Z390" s="7">
        <f t="shared" si="75"/>
        <v>1</v>
      </c>
      <c r="AA390" s="38">
        <f>IF(L390&lt;ステ計算型!$A$20,0,1)</f>
        <v>0</v>
      </c>
      <c r="AB390" s="3">
        <f t="shared" si="76"/>
        <v>0</v>
      </c>
    </row>
    <row r="391" spans="1:28" ht="8.25" customHeight="1">
      <c r="A391" s="3">
        <f t="shared" si="72"/>
        <v>0</v>
      </c>
      <c r="B391" s="2">
        <f>ステ計算型!$B$2</f>
        <v>101</v>
      </c>
      <c r="C391" s="7">
        <f>VLOOKUP(B391,ポイント!$A$1:$D$43,4,FALSE)</f>
        <v>571</v>
      </c>
      <c r="D391" s="2">
        <f>ステ計算型!$B$4</f>
        <v>5</v>
      </c>
      <c r="E391" s="2">
        <f>ステ計算型!$B$6</f>
        <v>127</v>
      </c>
      <c r="F391" s="2">
        <f>ステ計算型!$B$8</f>
        <v>10</v>
      </c>
      <c r="G391" s="2">
        <f>ステ計算型!$B$9</f>
        <v>82</v>
      </c>
      <c r="H391" s="7">
        <f t="shared" si="67"/>
        <v>347</v>
      </c>
      <c r="I391" s="5">
        <f>ステ計算型!$K$3</f>
        <v>7390</v>
      </c>
      <c r="J391" s="5">
        <f>ステ計算型!$N$3</f>
        <v>66</v>
      </c>
      <c r="K391" s="5">
        <v>392</v>
      </c>
      <c r="L391" s="7">
        <f t="shared" si="68"/>
        <v>-45</v>
      </c>
      <c r="M391" s="7">
        <f t="shared" si="73"/>
        <v>4019</v>
      </c>
      <c r="N391" s="2">
        <v>1</v>
      </c>
      <c r="O391" s="7">
        <f t="shared" si="71"/>
        <v>0.65</v>
      </c>
      <c r="P391" s="7">
        <f t="shared" si="69"/>
        <v>0.5</v>
      </c>
      <c r="Q391" s="2">
        <f>ステ計算型!$I$29</f>
        <v>1</v>
      </c>
      <c r="R391" s="2">
        <f>ステ計算型!$E$33</f>
        <v>0.2</v>
      </c>
      <c r="S391" s="7">
        <f t="shared" si="70"/>
        <v>7.1040000000000001</v>
      </c>
      <c r="T391" s="2">
        <f>ステ計算型!$I$27</f>
        <v>1.1000000000000001</v>
      </c>
      <c r="U391" s="2">
        <f>ステ計算型!$J$29</f>
        <v>2</v>
      </c>
      <c r="V391" s="2">
        <f>ステ計算型!$F$32</f>
        <v>0.75</v>
      </c>
      <c r="W391" s="2">
        <f>ステ計算型!$G$34</f>
        <v>1</v>
      </c>
      <c r="X391" s="7">
        <f t="shared" si="66"/>
        <v>26870.230199999998</v>
      </c>
      <c r="Y391" s="7">
        <f t="shared" si="74"/>
        <v>400</v>
      </c>
      <c r="Z391" s="7">
        <f t="shared" si="75"/>
        <v>1</v>
      </c>
      <c r="AA391" s="38">
        <f>IF(L391&lt;ステ計算型!$A$20,0,1)</f>
        <v>0</v>
      </c>
      <c r="AB391" s="3">
        <f t="shared" si="76"/>
        <v>0</v>
      </c>
    </row>
    <row r="392" spans="1:28" ht="8.25" customHeight="1">
      <c r="A392" s="3">
        <f t="shared" si="72"/>
        <v>0</v>
      </c>
      <c r="B392" s="2">
        <f>ステ計算型!$B$2</f>
        <v>101</v>
      </c>
      <c r="C392" s="7">
        <f>VLOOKUP(B392,ポイント!$A$1:$D$43,4,FALSE)</f>
        <v>571</v>
      </c>
      <c r="D392" s="2">
        <f>ステ計算型!$B$4</f>
        <v>5</v>
      </c>
      <c r="E392" s="2">
        <f>ステ計算型!$B$6</f>
        <v>127</v>
      </c>
      <c r="F392" s="2">
        <f>ステ計算型!$B$8</f>
        <v>10</v>
      </c>
      <c r="G392" s="2">
        <f>ステ計算型!$B$9</f>
        <v>82</v>
      </c>
      <c r="H392" s="7">
        <f t="shared" si="67"/>
        <v>347</v>
      </c>
      <c r="I392" s="5">
        <f>ステ計算型!$K$3</f>
        <v>7390</v>
      </c>
      <c r="J392" s="5">
        <f>ステ計算型!$N$3</f>
        <v>66</v>
      </c>
      <c r="K392" s="5">
        <v>393</v>
      </c>
      <c r="L392" s="7">
        <f t="shared" si="68"/>
        <v>-46</v>
      </c>
      <c r="M392" s="7">
        <f t="shared" si="73"/>
        <v>3944</v>
      </c>
      <c r="N392" s="2">
        <v>1</v>
      </c>
      <c r="O392" s="7">
        <f t="shared" si="71"/>
        <v>0.66</v>
      </c>
      <c r="P392" s="7">
        <f t="shared" si="69"/>
        <v>0.5</v>
      </c>
      <c r="Q392" s="2">
        <f>ステ計算型!$I$29</f>
        <v>1</v>
      </c>
      <c r="R392" s="2">
        <f>ステ計算型!$E$33</f>
        <v>0.2</v>
      </c>
      <c r="S392" s="7">
        <f t="shared" si="70"/>
        <v>7.1159999999999997</v>
      </c>
      <c r="T392" s="2">
        <f>ステ計算型!$I$27</f>
        <v>1.1000000000000001</v>
      </c>
      <c r="U392" s="2">
        <f>ステ計算型!$J$29</f>
        <v>2</v>
      </c>
      <c r="V392" s="2">
        <f>ステ計算型!$F$32</f>
        <v>0.75</v>
      </c>
      <c r="W392" s="2">
        <f>ステ計算型!$G$34</f>
        <v>1</v>
      </c>
      <c r="X392" s="7">
        <f t="shared" si="66"/>
        <v>26407.840800000002</v>
      </c>
      <c r="Y392" s="7">
        <f t="shared" si="74"/>
        <v>400</v>
      </c>
      <c r="Z392" s="7">
        <f t="shared" si="75"/>
        <v>1</v>
      </c>
      <c r="AA392" s="38">
        <f>IF(L392&lt;ステ計算型!$A$20,0,1)</f>
        <v>0</v>
      </c>
      <c r="AB392" s="3">
        <f t="shared" si="76"/>
        <v>0</v>
      </c>
    </row>
    <row r="393" spans="1:28" ht="8.25" customHeight="1">
      <c r="A393" s="3">
        <f t="shared" si="72"/>
        <v>0</v>
      </c>
      <c r="B393" s="2">
        <f>ステ計算型!$B$2</f>
        <v>101</v>
      </c>
      <c r="C393" s="7">
        <f>VLOOKUP(B393,ポイント!$A$1:$D$43,4,FALSE)</f>
        <v>571</v>
      </c>
      <c r="D393" s="2">
        <f>ステ計算型!$B$4</f>
        <v>5</v>
      </c>
      <c r="E393" s="2">
        <f>ステ計算型!$B$6</f>
        <v>127</v>
      </c>
      <c r="F393" s="2">
        <f>ステ計算型!$B$8</f>
        <v>10</v>
      </c>
      <c r="G393" s="2">
        <f>ステ計算型!$B$9</f>
        <v>82</v>
      </c>
      <c r="H393" s="7">
        <f t="shared" si="67"/>
        <v>347</v>
      </c>
      <c r="I393" s="5">
        <f>ステ計算型!$K$3</f>
        <v>7390</v>
      </c>
      <c r="J393" s="5">
        <f>ステ計算型!$N$3</f>
        <v>66</v>
      </c>
      <c r="K393" s="5">
        <v>394</v>
      </c>
      <c r="L393" s="7">
        <f t="shared" si="68"/>
        <v>-47</v>
      </c>
      <c r="M393" s="7">
        <f t="shared" si="73"/>
        <v>3869</v>
      </c>
      <c r="N393" s="2">
        <v>1</v>
      </c>
      <c r="O393" s="7">
        <f t="shared" si="71"/>
        <v>0.66</v>
      </c>
      <c r="P393" s="7">
        <f t="shared" si="69"/>
        <v>0.5</v>
      </c>
      <c r="Q393" s="2">
        <f>ステ計算型!$I$29</f>
        <v>1</v>
      </c>
      <c r="R393" s="2">
        <f>ステ計算型!$E$33</f>
        <v>0.2</v>
      </c>
      <c r="S393" s="7">
        <f t="shared" si="70"/>
        <v>7.1279999999999992</v>
      </c>
      <c r="T393" s="2">
        <f>ステ計算型!$I$27</f>
        <v>1.1000000000000001</v>
      </c>
      <c r="U393" s="2">
        <f>ステ計算型!$J$29</f>
        <v>2</v>
      </c>
      <c r="V393" s="2">
        <f>ステ計算型!$F$32</f>
        <v>0.75</v>
      </c>
      <c r="W393" s="2">
        <f>ステ計算型!$G$34</f>
        <v>1</v>
      </c>
      <c r="X393" s="7">
        <f t="shared" si="66"/>
        <v>25943.966400000005</v>
      </c>
      <c r="Y393" s="7">
        <f t="shared" si="74"/>
        <v>400</v>
      </c>
      <c r="Z393" s="7">
        <f t="shared" si="75"/>
        <v>1</v>
      </c>
      <c r="AA393" s="38">
        <f>IF(L393&lt;ステ計算型!$A$20,0,1)</f>
        <v>0</v>
      </c>
      <c r="AB393" s="3">
        <f t="shared" si="76"/>
        <v>0</v>
      </c>
    </row>
    <row r="394" spans="1:28" ht="8.25" customHeight="1">
      <c r="A394" s="3">
        <f t="shared" si="72"/>
        <v>0</v>
      </c>
      <c r="B394" s="2">
        <f>ステ計算型!$B$2</f>
        <v>101</v>
      </c>
      <c r="C394" s="7">
        <f>VLOOKUP(B394,ポイント!$A$1:$D$43,4,FALSE)</f>
        <v>571</v>
      </c>
      <c r="D394" s="2">
        <f>ステ計算型!$B$4</f>
        <v>5</v>
      </c>
      <c r="E394" s="2">
        <f>ステ計算型!$B$6</f>
        <v>127</v>
      </c>
      <c r="F394" s="2">
        <f>ステ計算型!$B$8</f>
        <v>10</v>
      </c>
      <c r="G394" s="2">
        <f>ステ計算型!$B$9</f>
        <v>82</v>
      </c>
      <c r="H394" s="7">
        <f t="shared" si="67"/>
        <v>347</v>
      </c>
      <c r="I394" s="5">
        <f>ステ計算型!$K$3</f>
        <v>7390</v>
      </c>
      <c r="J394" s="5">
        <f>ステ計算型!$N$3</f>
        <v>66</v>
      </c>
      <c r="K394" s="5">
        <v>395</v>
      </c>
      <c r="L394" s="7">
        <f t="shared" si="68"/>
        <v>-48</v>
      </c>
      <c r="M394" s="7">
        <f t="shared" si="73"/>
        <v>3794</v>
      </c>
      <c r="N394" s="2">
        <v>1</v>
      </c>
      <c r="O394" s="7">
        <f t="shared" si="71"/>
        <v>0.66</v>
      </c>
      <c r="P394" s="7">
        <f t="shared" si="69"/>
        <v>0.5</v>
      </c>
      <c r="Q394" s="2">
        <f>ステ計算型!$I$29</f>
        <v>1</v>
      </c>
      <c r="R394" s="2">
        <f>ステ計算型!$E$33</f>
        <v>0.2</v>
      </c>
      <c r="S394" s="7">
        <f t="shared" si="70"/>
        <v>7.14</v>
      </c>
      <c r="T394" s="2">
        <f>ステ計算型!$I$27</f>
        <v>1.1000000000000001</v>
      </c>
      <c r="U394" s="2">
        <f>ステ計算型!$J$29</f>
        <v>2</v>
      </c>
      <c r="V394" s="2">
        <f>ステ計算型!$F$32</f>
        <v>0.75</v>
      </c>
      <c r="W394" s="2">
        <f>ステ計算型!$G$34</f>
        <v>1</v>
      </c>
      <c r="X394" s="7">
        <f t="shared" si="66"/>
        <v>25478.607000000007</v>
      </c>
      <c r="Y394" s="7">
        <f t="shared" si="74"/>
        <v>400</v>
      </c>
      <c r="Z394" s="7">
        <f t="shared" si="75"/>
        <v>1</v>
      </c>
      <c r="AA394" s="38">
        <f>IF(L394&lt;ステ計算型!$A$20,0,1)</f>
        <v>0</v>
      </c>
      <c r="AB394" s="3">
        <f t="shared" si="76"/>
        <v>0</v>
      </c>
    </row>
    <row r="395" spans="1:28" ht="8.25" customHeight="1">
      <c r="A395" s="3">
        <f t="shared" si="72"/>
        <v>0</v>
      </c>
      <c r="B395" s="2">
        <f>ステ計算型!$B$2</f>
        <v>101</v>
      </c>
      <c r="C395" s="7">
        <f>VLOOKUP(B395,ポイント!$A$1:$D$43,4,FALSE)</f>
        <v>571</v>
      </c>
      <c r="D395" s="2">
        <f>ステ計算型!$B$4</f>
        <v>5</v>
      </c>
      <c r="E395" s="2">
        <f>ステ計算型!$B$6</f>
        <v>127</v>
      </c>
      <c r="F395" s="2">
        <f>ステ計算型!$B$8</f>
        <v>10</v>
      </c>
      <c r="G395" s="2">
        <f>ステ計算型!$B$9</f>
        <v>82</v>
      </c>
      <c r="H395" s="7">
        <f t="shared" si="67"/>
        <v>347</v>
      </c>
      <c r="I395" s="5">
        <f>ステ計算型!$K$3</f>
        <v>7390</v>
      </c>
      <c r="J395" s="5">
        <f>ステ計算型!$N$3</f>
        <v>66</v>
      </c>
      <c r="K395" s="5">
        <v>396</v>
      </c>
      <c r="L395" s="7">
        <f t="shared" si="68"/>
        <v>-49</v>
      </c>
      <c r="M395" s="7">
        <f t="shared" si="73"/>
        <v>3719</v>
      </c>
      <c r="N395" s="2">
        <v>1</v>
      </c>
      <c r="O395" s="7">
        <f t="shared" si="71"/>
        <v>0.66</v>
      </c>
      <c r="P395" s="7">
        <f t="shared" si="69"/>
        <v>0.5</v>
      </c>
      <c r="Q395" s="2">
        <f>ステ計算型!$I$29</f>
        <v>1</v>
      </c>
      <c r="R395" s="2">
        <f>ステ計算型!$E$33</f>
        <v>0.2</v>
      </c>
      <c r="S395" s="7">
        <f t="shared" si="70"/>
        <v>7.1520000000000001</v>
      </c>
      <c r="T395" s="2">
        <f>ステ計算型!$I$27</f>
        <v>1.1000000000000001</v>
      </c>
      <c r="U395" s="2">
        <f>ステ計算型!$J$29</f>
        <v>2</v>
      </c>
      <c r="V395" s="2">
        <f>ステ計算型!$F$32</f>
        <v>0.75</v>
      </c>
      <c r="W395" s="2">
        <f>ステ計算型!$G$34</f>
        <v>1</v>
      </c>
      <c r="X395" s="7">
        <f t="shared" si="66"/>
        <v>25011.762600000002</v>
      </c>
      <c r="Y395" s="7">
        <f t="shared" si="74"/>
        <v>400</v>
      </c>
      <c r="Z395" s="7">
        <f t="shared" si="75"/>
        <v>1</v>
      </c>
      <c r="AA395" s="38">
        <f>IF(L395&lt;ステ計算型!$A$20,0,1)</f>
        <v>0</v>
      </c>
      <c r="AB395" s="3">
        <f t="shared" si="76"/>
        <v>0</v>
      </c>
    </row>
    <row r="396" spans="1:28" ht="8.25" customHeight="1">
      <c r="A396" s="3">
        <f t="shared" si="72"/>
        <v>0</v>
      </c>
      <c r="B396" s="2">
        <f>ステ計算型!$B$2</f>
        <v>101</v>
      </c>
      <c r="C396" s="7">
        <f>VLOOKUP(B396,ポイント!$A$1:$D$43,4,FALSE)</f>
        <v>571</v>
      </c>
      <c r="D396" s="2">
        <f>ステ計算型!$B$4</f>
        <v>5</v>
      </c>
      <c r="E396" s="2">
        <f>ステ計算型!$B$6</f>
        <v>127</v>
      </c>
      <c r="F396" s="2">
        <f>ステ計算型!$B$8</f>
        <v>10</v>
      </c>
      <c r="G396" s="2">
        <f>ステ計算型!$B$9</f>
        <v>82</v>
      </c>
      <c r="H396" s="7">
        <f t="shared" si="67"/>
        <v>347</v>
      </c>
      <c r="I396" s="5">
        <f>ステ計算型!$K$3</f>
        <v>7390</v>
      </c>
      <c r="J396" s="5">
        <f>ステ計算型!$N$3</f>
        <v>66</v>
      </c>
      <c r="K396" s="5">
        <v>397</v>
      </c>
      <c r="L396" s="7">
        <f t="shared" si="68"/>
        <v>-50</v>
      </c>
      <c r="M396" s="7">
        <f t="shared" si="73"/>
        <v>3645</v>
      </c>
      <c r="N396" s="2">
        <v>1</v>
      </c>
      <c r="O396" s="7">
        <f t="shared" si="71"/>
        <v>0.66</v>
      </c>
      <c r="P396" s="7">
        <f t="shared" si="69"/>
        <v>0.5</v>
      </c>
      <c r="Q396" s="2">
        <f>ステ計算型!$I$29</f>
        <v>1</v>
      </c>
      <c r="R396" s="2">
        <f>ステ計算型!$E$33</f>
        <v>0.2</v>
      </c>
      <c r="S396" s="7">
        <f t="shared" si="70"/>
        <v>7.1640000000000006</v>
      </c>
      <c r="T396" s="2">
        <f>ステ計算型!$I$27</f>
        <v>1.1000000000000001</v>
      </c>
      <c r="U396" s="2">
        <f>ステ計算型!$J$29</f>
        <v>2</v>
      </c>
      <c r="V396" s="2">
        <f>ステ計算型!$F$32</f>
        <v>0.75</v>
      </c>
      <c r="W396" s="2">
        <f>ステ計算型!$G$34</f>
        <v>1</v>
      </c>
      <c r="X396" s="7">
        <f t="shared" si="66"/>
        <v>24550.168500000007</v>
      </c>
      <c r="Y396" s="7">
        <f t="shared" si="74"/>
        <v>400</v>
      </c>
      <c r="Z396" s="7">
        <f t="shared" si="75"/>
        <v>1</v>
      </c>
      <c r="AA396" s="38">
        <f>IF(L396&lt;ステ計算型!$A$20,0,1)</f>
        <v>0</v>
      </c>
      <c r="AB396" s="3">
        <f t="shared" si="76"/>
        <v>0</v>
      </c>
    </row>
    <row r="397" spans="1:28" ht="8.25" customHeight="1">
      <c r="A397" s="3">
        <f t="shared" si="72"/>
        <v>0</v>
      </c>
      <c r="B397" s="2">
        <f>ステ計算型!$B$2</f>
        <v>101</v>
      </c>
      <c r="C397" s="7">
        <f>VLOOKUP(B397,ポイント!$A$1:$D$43,4,FALSE)</f>
        <v>571</v>
      </c>
      <c r="D397" s="2">
        <f>ステ計算型!$B$4</f>
        <v>5</v>
      </c>
      <c r="E397" s="2">
        <f>ステ計算型!$B$6</f>
        <v>127</v>
      </c>
      <c r="F397" s="2">
        <f>ステ計算型!$B$8</f>
        <v>10</v>
      </c>
      <c r="G397" s="2">
        <f>ステ計算型!$B$9</f>
        <v>82</v>
      </c>
      <c r="H397" s="7">
        <f t="shared" si="67"/>
        <v>347</v>
      </c>
      <c r="I397" s="5">
        <f>ステ計算型!$K$3</f>
        <v>7390</v>
      </c>
      <c r="J397" s="5">
        <f>ステ計算型!$N$3</f>
        <v>66</v>
      </c>
      <c r="K397" s="5">
        <v>398</v>
      </c>
      <c r="L397" s="7">
        <f t="shared" si="68"/>
        <v>-51</v>
      </c>
      <c r="M397" s="7">
        <f t="shared" si="73"/>
        <v>3570</v>
      </c>
      <c r="N397" s="2">
        <v>1</v>
      </c>
      <c r="O397" s="7">
        <f t="shared" si="71"/>
        <v>0.66</v>
      </c>
      <c r="P397" s="7">
        <f t="shared" si="69"/>
        <v>0.5</v>
      </c>
      <c r="Q397" s="2">
        <f>ステ計算型!$I$29</f>
        <v>1</v>
      </c>
      <c r="R397" s="2">
        <f>ステ計算型!$E$33</f>
        <v>0.2</v>
      </c>
      <c r="S397" s="7">
        <f t="shared" si="70"/>
        <v>7.1760000000000002</v>
      </c>
      <c r="T397" s="2">
        <f>ステ計算型!$I$27</f>
        <v>1.1000000000000001</v>
      </c>
      <c r="U397" s="2">
        <f>ステ計算型!$J$29</f>
        <v>2</v>
      </c>
      <c r="V397" s="2">
        <f>ステ計算型!$F$32</f>
        <v>0.75</v>
      </c>
      <c r="W397" s="2">
        <f>ステ計算型!$G$34</f>
        <v>1</v>
      </c>
      <c r="X397" s="7">
        <f t="shared" si="66"/>
        <v>24080.364000000001</v>
      </c>
      <c r="Y397" s="7">
        <f t="shared" si="74"/>
        <v>400</v>
      </c>
      <c r="Z397" s="7">
        <f t="shared" si="75"/>
        <v>1</v>
      </c>
      <c r="AA397" s="38">
        <f>IF(L397&lt;ステ計算型!$A$20,0,1)</f>
        <v>0</v>
      </c>
      <c r="AB397" s="3">
        <f t="shared" si="76"/>
        <v>0</v>
      </c>
    </row>
    <row r="398" spans="1:28" ht="8.25" customHeight="1">
      <c r="A398" s="3">
        <f t="shared" si="72"/>
        <v>0</v>
      </c>
      <c r="B398" s="2">
        <f>ステ計算型!$B$2</f>
        <v>101</v>
      </c>
      <c r="C398" s="7">
        <f>VLOOKUP(B398,ポイント!$A$1:$D$43,4,FALSE)</f>
        <v>571</v>
      </c>
      <c r="D398" s="2">
        <f>ステ計算型!$B$4</f>
        <v>5</v>
      </c>
      <c r="E398" s="2">
        <f>ステ計算型!$B$6</f>
        <v>127</v>
      </c>
      <c r="F398" s="2">
        <f>ステ計算型!$B$8</f>
        <v>10</v>
      </c>
      <c r="G398" s="2">
        <f>ステ計算型!$B$9</f>
        <v>82</v>
      </c>
      <c r="H398" s="7">
        <f t="shared" si="67"/>
        <v>347</v>
      </c>
      <c r="I398" s="5">
        <f>ステ計算型!$K$3</f>
        <v>7390</v>
      </c>
      <c r="J398" s="5">
        <f>ステ計算型!$N$3</f>
        <v>66</v>
      </c>
      <c r="K398" s="5">
        <v>399</v>
      </c>
      <c r="L398" s="7">
        <f t="shared" si="68"/>
        <v>-52</v>
      </c>
      <c r="M398" s="7">
        <f t="shared" si="73"/>
        <v>3495</v>
      </c>
      <c r="N398" s="2">
        <v>1</v>
      </c>
      <c r="O398" s="7">
        <f t="shared" si="71"/>
        <v>0.66</v>
      </c>
      <c r="P398" s="7">
        <f t="shared" si="69"/>
        <v>0.5</v>
      </c>
      <c r="Q398" s="2">
        <f>ステ計算型!$I$29</f>
        <v>1</v>
      </c>
      <c r="R398" s="2">
        <f>ステ計算型!$E$33</f>
        <v>0.2</v>
      </c>
      <c r="S398" s="7">
        <f t="shared" si="70"/>
        <v>7.1879999999999997</v>
      </c>
      <c r="T398" s="2">
        <f>ステ計算型!$I$27</f>
        <v>1.1000000000000001</v>
      </c>
      <c r="U398" s="2">
        <f>ステ計算型!$J$29</f>
        <v>2</v>
      </c>
      <c r="V398" s="2">
        <f>ステ計算型!$F$32</f>
        <v>0.75</v>
      </c>
      <c r="W398" s="2">
        <f>ステ計算型!$G$34</f>
        <v>1</v>
      </c>
      <c r="X398" s="7">
        <f t="shared" si="66"/>
        <v>23609.074499999999</v>
      </c>
      <c r="Y398" s="7">
        <f t="shared" si="74"/>
        <v>400</v>
      </c>
      <c r="Z398" s="7">
        <f t="shared" si="75"/>
        <v>1</v>
      </c>
      <c r="AA398" s="38">
        <f>IF(L398&lt;ステ計算型!$A$20,0,1)</f>
        <v>0</v>
      </c>
      <c r="AB398" s="3">
        <f t="shared" si="76"/>
        <v>0</v>
      </c>
    </row>
    <row r="399" spans="1:28" ht="8.25" customHeight="1">
      <c r="A399" s="3">
        <f t="shared" si="72"/>
        <v>0</v>
      </c>
      <c r="B399" s="2">
        <f>ステ計算型!$B$2</f>
        <v>101</v>
      </c>
      <c r="C399" s="7">
        <f>VLOOKUP(B399,ポイント!$A$1:$D$43,4,FALSE)</f>
        <v>571</v>
      </c>
      <c r="D399" s="2">
        <f>ステ計算型!$B$4</f>
        <v>5</v>
      </c>
      <c r="E399" s="2">
        <f>ステ計算型!$B$6</f>
        <v>127</v>
      </c>
      <c r="F399" s="2">
        <f>ステ計算型!$B$8</f>
        <v>10</v>
      </c>
      <c r="G399" s="2">
        <f>ステ計算型!$B$9</f>
        <v>82</v>
      </c>
      <c r="H399" s="7">
        <f t="shared" si="67"/>
        <v>347</v>
      </c>
      <c r="I399" s="5">
        <f>ステ計算型!$K$3</f>
        <v>7390</v>
      </c>
      <c r="J399" s="5">
        <f>ステ計算型!$N$3</f>
        <v>66</v>
      </c>
      <c r="K399" s="5">
        <v>400</v>
      </c>
      <c r="L399" s="7">
        <f t="shared" si="68"/>
        <v>-53</v>
      </c>
      <c r="M399" s="7">
        <f t="shared" si="73"/>
        <v>3420</v>
      </c>
      <c r="N399" s="2">
        <v>1</v>
      </c>
      <c r="O399" s="7">
        <f>ROUNDDOWN(((J399*(K399/100+1))/5)+1,0)/100*N399</f>
        <v>0.67</v>
      </c>
      <c r="P399" s="7">
        <f t="shared" si="69"/>
        <v>0.5</v>
      </c>
      <c r="Q399" s="2">
        <f>ステ計算型!$I$29</f>
        <v>1</v>
      </c>
      <c r="R399" s="2">
        <f>ステ計算型!$E$33</f>
        <v>0.2</v>
      </c>
      <c r="S399" s="7">
        <f t="shared" si="70"/>
        <v>7.1999999999999993</v>
      </c>
      <c r="T399" s="2">
        <f>ステ計算型!$I$27</f>
        <v>1.1000000000000001</v>
      </c>
      <c r="U399" s="2">
        <f>ステ計算型!$J$29</f>
        <v>2</v>
      </c>
      <c r="V399" s="2">
        <f>ステ計算型!$F$32</f>
        <v>0.75</v>
      </c>
      <c r="W399" s="2">
        <f>ステ計算型!$G$34</f>
        <v>1</v>
      </c>
      <c r="X399" s="7">
        <f t="shared" si="66"/>
        <v>23136.3</v>
      </c>
      <c r="Y399" s="7">
        <f t="shared" si="74"/>
        <v>400</v>
      </c>
      <c r="Z399" s="7">
        <f t="shared" si="75"/>
        <v>1</v>
      </c>
      <c r="AA399" s="38">
        <f>IF(L399&lt;ステ計算型!$A$20,0,1)</f>
        <v>0</v>
      </c>
      <c r="AB399" s="3">
        <f t="shared" si="76"/>
        <v>0</v>
      </c>
    </row>
  </sheetData>
  <sheetProtection sheet="1" objects="1" scenarios="1"/>
  <mergeCells count="2">
    <mergeCell ref="O1:P1"/>
    <mergeCell ref="AC8:AK10"/>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説明</vt:lpstr>
      <vt:lpstr>ステ入力型</vt:lpstr>
      <vt:lpstr>ステ計算型</vt:lpstr>
      <vt:lpstr>ポイント</vt:lpstr>
      <vt:lpstr>武器</vt:lpstr>
      <vt:lpstr>防具</vt:lpstr>
      <vt:lpstr>テクニック</vt:lpstr>
      <vt:lpstr>技術計算</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adnimistartor</dc:creator>
  <cp:lastModifiedBy>adnimistartor</cp:lastModifiedBy>
  <dcterms:created xsi:type="dcterms:W3CDTF">2010-02-28T15:35:37Z</dcterms:created>
  <dcterms:modified xsi:type="dcterms:W3CDTF">2010-04-25T12:50:32Z</dcterms:modified>
</cp:coreProperties>
</file>